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900" yWindow="2360" windowWidth="25600" windowHeight="16060" tabRatio="709" firstSheet="2" activeTab="2"/>
  </bookViews>
  <sheets>
    <sheet name="Feuille1" sheetId="1" state="hidden" r:id="rId1"/>
    <sheet name="analyse fi (2)" sheetId="4" state="hidden" r:id="rId2"/>
    <sheet name="analyse fi (3)" sheetId="5" r:id="rId3"/>
  </sheets>
  <externalReferences>
    <externalReference r:id="rId4"/>
  </externalReferenc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B4" i="5" l="1"/>
  <c r="B7" i="5"/>
  <c r="B3" i="5"/>
  <c r="B13" i="5"/>
  <c r="N6" i="5"/>
  <c r="H5" i="5"/>
  <c r="K5" i="5"/>
  <c r="N5" i="5"/>
  <c r="K17" i="5"/>
  <c r="C7" i="5"/>
  <c r="C4" i="5"/>
  <c r="C3" i="5"/>
  <c r="C13" i="5"/>
  <c r="B15" i="5"/>
  <c r="C15" i="5"/>
  <c r="B26" i="5"/>
  <c r="C26" i="5"/>
  <c r="B28" i="5"/>
  <c r="C28" i="5"/>
  <c r="B30" i="5"/>
  <c r="C30" i="5"/>
  <c r="B32" i="5"/>
  <c r="C32" i="5"/>
  <c r="O49" i="5"/>
  <c r="N49" i="5"/>
  <c r="O48" i="5"/>
  <c r="N48" i="5"/>
  <c r="F40" i="5"/>
  <c r="F32" i="5"/>
  <c r="F4" i="5"/>
  <c r="F7" i="5"/>
  <c r="F3" i="5"/>
  <c r="C40" i="5"/>
  <c r="D40" i="5"/>
  <c r="E40" i="5"/>
  <c r="B40" i="5"/>
  <c r="D15" i="5"/>
  <c r="E15" i="5"/>
  <c r="F15" i="5"/>
  <c r="K15" i="5"/>
  <c r="D7" i="5"/>
  <c r="E7" i="5"/>
  <c r="H7" i="5"/>
  <c r="H6" i="5"/>
  <c r="E4" i="5"/>
  <c r="L49" i="5"/>
  <c r="K49" i="5"/>
  <c r="L48" i="5"/>
  <c r="K48" i="5"/>
  <c r="K41" i="5"/>
  <c r="O37" i="5"/>
  <c r="N37" i="5"/>
  <c r="L37" i="5"/>
  <c r="K37" i="5"/>
  <c r="H37" i="5"/>
  <c r="O36" i="5"/>
  <c r="N36" i="5"/>
  <c r="L36" i="5"/>
  <c r="K36" i="5"/>
  <c r="H36" i="5"/>
  <c r="L35" i="5"/>
  <c r="K35" i="5"/>
  <c r="O34" i="5"/>
  <c r="N34" i="5"/>
  <c r="L34" i="5"/>
  <c r="K34" i="5"/>
  <c r="H34" i="5"/>
  <c r="O33" i="5"/>
  <c r="N33" i="5"/>
  <c r="L33" i="5"/>
  <c r="K33" i="5"/>
  <c r="H33" i="5"/>
  <c r="O32" i="5"/>
  <c r="D32" i="5"/>
  <c r="L32" i="5"/>
  <c r="N32" i="5"/>
  <c r="E32" i="5"/>
  <c r="K32" i="5"/>
  <c r="H32" i="5"/>
  <c r="O24" i="5"/>
  <c r="L24" i="5"/>
  <c r="N24" i="5"/>
  <c r="E26" i="5"/>
  <c r="K24" i="5"/>
  <c r="H24" i="5"/>
  <c r="O22" i="5"/>
  <c r="N22" i="5"/>
  <c r="L22" i="5"/>
  <c r="K22" i="5"/>
  <c r="H22" i="5"/>
  <c r="K21" i="5"/>
  <c r="H21" i="5"/>
  <c r="H20" i="5"/>
  <c r="K19" i="5"/>
  <c r="H19" i="5"/>
  <c r="H18" i="5"/>
  <c r="H17" i="5"/>
  <c r="H16" i="5"/>
  <c r="O10" i="5"/>
  <c r="N10" i="5"/>
  <c r="L10" i="5"/>
  <c r="K10" i="5"/>
  <c r="H10" i="5"/>
  <c r="O9" i="5"/>
  <c r="N9" i="5"/>
  <c r="L9" i="5"/>
  <c r="K9" i="5"/>
  <c r="H9" i="5"/>
  <c r="H8" i="5"/>
  <c r="K7" i="5"/>
  <c r="D4" i="5"/>
  <c r="O16" i="4"/>
  <c r="N16" i="4"/>
  <c r="O3" i="4"/>
  <c r="N3" i="4"/>
  <c r="L49" i="4"/>
  <c r="K49" i="4"/>
  <c r="L48" i="4"/>
  <c r="K48" i="4"/>
  <c r="L37" i="4"/>
  <c r="K37" i="4"/>
  <c r="L36" i="4"/>
  <c r="K36" i="4"/>
  <c r="L35" i="4"/>
  <c r="K35" i="4"/>
  <c r="L34" i="4"/>
  <c r="K34" i="4"/>
  <c r="L33" i="4"/>
  <c r="K33" i="4"/>
  <c r="L32" i="4"/>
  <c r="K32" i="4"/>
  <c r="L30" i="4"/>
  <c r="K30" i="4"/>
  <c r="L28" i="4"/>
  <c r="K28" i="4"/>
  <c r="L26" i="4"/>
  <c r="K26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3" i="4"/>
  <c r="K13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L3" i="4"/>
  <c r="K3" i="4"/>
  <c r="K40" i="5"/>
  <c r="E3" i="5"/>
  <c r="E13" i="5"/>
  <c r="E30" i="5"/>
  <c r="C46" i="5"/>
  <c r="N8" i="5"/>
  <c r="E28" i="5"/>
  <c r="L4" i="5"/>
  <c r="O4" i="5"/>
  <c r="N4" i="5"/>
  <c r="L6" i="5"/>
  <c r="O6" i="5"/>
  <c r="D3" i="5"/>
  <c r="K4" i="5"/>
  <c r="L5" i="5"/>
  <c r="O5" i="5"/>
  <c r="K6" i="5"/>
  <c r="L8" i="5"/>
  <c r="K8" i="5"/>
  <c r="O8" i="5"/>
  <c r="L16" i="5"/>
  <c r="O16" i="5"/>
  <c r="N16" i="5"/>
  <c r="L18" i="5"/>
  <c r="O18" i="5"/>
  <c r="N18" i="5"/>
  <c r="L20" i="5"/>
  <c r="O20" i="5"/>
  <c r="N20" i="5"/>
  <c r="H41" i="5"/>
  <c r="L7" i="5"/>
  <c r="O7" i="5"/>
  <c r="N7" i="5"/>
  <c r="H15" i="5"/>
  <c r="D26" i="5"/>
  <c r="L15" i="5"/>
  <c r="F28" i="5"/>
  <c r="F26" i="5"/>
  <c r="O15" i="5"/>
  <c r="N15" i="5"/>
  <c r="K16" i="5"/>
  <c r="L17" i="5"/>
  <c r="O17" i="5"/>
  <c r="N17" i="5"/>
  <c r="K18" i="5"/>
  <c r="L19" i="5"/>
  <c r="O19" i="5"/>
  <c r="N19" i="5"/>
  <c r="K20" i="5"/>
  <c r="L21" i="5"/>
  <c r="O21" i="5"/>
  <c r="N21" i="5"/>
  <c r="L40" i="5"/>
  <c r="L41" i="5"/>
  <c r="H37" i="4"/>
  <c r="H36" i="4"/>
  <c r="H34" i="4"/>
  <c r="H33" i="4"/>
  <c r="H10" i="4"/>
  <c r="H9" i="4"/>
  <c r="O37" i="4"/>
  <c r="N37" i="4"/>
  <c r="O36" i="4"/>
  <c r="N36" i="4"/>
  <c r="O34" i="4"/>
  <c r="N34" i="4"/>
  <c r="O33" i="4"/>
  <c r="N33" i="4"/>
  <c r="O10" i="4"/>
  <c r="N10" i="4"/>
  <c r="O9" i="4"/>
  <c r="N9" i="4"/>
  <c r="N5" i="4"/>
  <c r="B41" i="4"/>
  <c r="C41" i="4"/>
  <c r="D41" i="4"/>
  <c r="B40" i="4"/>
  <c r="F32" i="4"/>
  <c r="E32" i="4"/>
  <c r="D32" i="4"/>
  <c r="C32" i="4"/>
  <c r="H32" i="4"/>
  <c r="B32" i="4"/>
  <c r="F24" i="4"/>
  <c r="E24" i="4"/>
  <c r="D24" i="4"/>
  <c r="C24" i="4"/>
  <c r="B24" i="4"/>
  <c r="H24" i="4"/>
  <c r="F21" i="4"/>
  <c r="E21" i="4"/>
  <c r="D21" i="4"/>
  <c r="C21" i="4"/>
  <c r="H21" i="4"/>
  <c r="B21" i="4"/>
  <c r="F20" i="4"/>
  <c r="E20" i="4"/>
  <c r="D20" i="4"/>
  <c r="C20" i="4"/>
  <c r="B20" i="4"/>
  <c r="H20" i="4"/>
  <c r="F19" i="4"/>
  <c r="E19" i="4"/>
  <c r="D19" i="4"/>
  <c r="C19" i="4"/>
  <c r="H19" i="4"/>
  <c r="B19" i="4"/>
  <c r="F18" i="4"/>
  <c r="E18" i="4"/>
  <c r="D18" i="4"/>
  <c r="C18" i="4"/>
  <c r="B18" i="4"/>
  <c r="H18" i="4"/>
  <c r="F17" i="4"/>
  <c r="E17" i="4"/>
  <c r="D17" i="4"/>
  <c r="C17" i="4"/>
  <c r="H17" i="4"/>
  <c r="B17" i="4"/>
  <c r="F16" i="4"/>
  <c r="E16" i="4"/>
  <c r="D16" i="4"/>
  <c r="C16" i="4"/>
  <c r="B16" i="4"/>
  <c r="H16" i="4"/>
  <c r="F15" i="4"/>
  <c r="E15" i="4"/>
  <c r="D15" i="4"/>
  <c r="C15" i="4"/>
  <c r="H15" i="4"/>
  <c r="B15" i="4"/>
  <c r="F8" i="4"/>
  <c r="E8" i="4"/>
  <c r="D8" i="4"/>
  <c r="C8" i="4"/>
  <c r="B8" i="4"/>
  <c r="H8" i="4"/>
  <c r="F7" i="4"/>
  <c r="E7" i="4"/>
  <c r="D7" i="4"/>
  <c r="C7" i="4"/>
  <c r="C11" i="4"/>
  <c r="B7" i="4"/>
  <c r="F6" i="4"/>
  <c r="E6" i="4"/>
  <c r="D6" i="4"/>
  <c r="C6" i="4"/>
  <c r="B6" i="4"/>
  <c r="H6" i="4"/>
  <c r="F5" i="4"/>
  <c r="E5" i="4"/>
  <c r="D5" i="4"/>
  <c r="C5" i="4"/>
  <c r="C4" i="4"/>
  <c r="C3" i="4"/>
  <c r="C13" i="4"/>
  <c r="B5" i="4"/>
  <c r="E41" i="4"/>
  <c r="L41" i="4"/>
  <c r="K41" i="4"/>
  <c r="E45" i="5"/>
  <c r="C45" i="5"/>
  <c r="H4" i="5"/>
  <c r="N26" i="5"/>
  <c r="O26" i="5"/>
  <c r="K26" i="5"/>
  <c r="L26" i="5"/>
  <c r="H26" i="5"/>
  <c r="O11" i="5"/>
  <c r="N11" i="5"/>
  <c r="L11" i="5"/>
  <c r="K11" i="5"/>
  <c r="D13" i="5"/>
  <c r="D30" i="5"/>
  <c r="L3" i="5"/>
  <c r="K3" i="5"/>
  <c r="K42" i="5"/>
  <c r="L42" i="5"/>
  <c r="N41" i="5"/>
  <c r="O41" i="5"/>
  <c r="E46" i="5"/>
  <c r="N23" i="5"/>
  <c r="O23" i="5"/>
  <c r="N28" i="5"/>
  <c r="O28" i="5"/>
  <c r="K23" i="5"/>
  <c r="L23" i="5"/>
  <c r="D28" i="5"/>
  <c r="H23" i="5"/>
  <c r="H11" i="5"/>
  <c r="H40" i="5"/>
  <c r="H42" i="5"/>
  <c r="O3" i="5"/>
  <c r="N3" i="5"/>
  <c r="F13" i="5"/>
  <c r="H3" i="5"/>
  <c r="N19" i="4"/>
  <c r="N15" i="4"/>
  <c r="O32" i="4"/>
  <c r="N7" i="4"/>
  <c r="N32" i="4"/>
  <c r="O6" i="4"/>
  <c r="O8" i="4"/>
  <c r="O18" i="4"/>
  <c r="O20" i="4"/>
  <c r="O24" i="4"/>
  <c r="O15" i="4"/>
  <c r="O17" i="4"/>
  <c r="O19" i="4"/>
  <c r="O21" i="4"/>
  <c r="N17" i="4"/>
  <c r="N21" i="4"/>
  <c r="N6" i="4"/>
  <c r="N8" i="4"/>
  <c r="N18" i="4"/>
  <c r="N20" i="4"/>
  <c r="N24" i="4"/>
  <c r="H5" i="4"/>
  <c r="H7" i="4"/>
  <c r="B4" i="4"/>
  <c r="D4" i="4"/>
  <c r="D3" i="4"/>
  <c r="D13" i="4"/>
  <c r="F4" i="4"/>
  <c r="B11" i="4"/>
  <c r="D11" i="4"/>
  <c r="F11" i="4"/>
  <c r="O5" i="4"/>
  <c r="O7" i="4"/>
  <c r="B3" i="4"/>
  <c r="B42" i="4"/>
  <c r="E11" i="4"/>
  <c r="B28" i="4"/>
  <c r="E4" i="4"/>
  <c r="C26" i="4"/>
  <c r="C30" i="4"/>
  <c r="C23" i="4"/>
  <c r="C28" i="4"/>
  <c r="C40" i="4"/>
  <c r="D40" i="4"/>
  <c r="E26" i="4"/>
  <c r="F41" i="4"/>
  <c r="E23" i="4"/>
  <c r="B23" i="4"/>
  <c r="D23" i="4"/>
  <c r="F23" i="4"/>
  <c r="B26" i="4"/>
  <c r="D26" i="4"/>
  <c r="D30" i="4"/>
  <c r="F26" i="4"/>
  <c r="D102" i="1"/>
  <c r="E40" i="4"/>
  <c r="F40" i="4"/>
  <c r="L40" i="4"/>
  <c r="K40" i="4"/>
  <c r="H28" i="5"/>
  <c r="N42" i="5"/>
  <c r="O42" i="5"/>
  <c r="B46" i="5"/>
  <c r="B45" i="5"/>
  <c r="H13" i="5"/>
  <c r="F46" i="5"/>
  <c r="F45" i="5"/>
  <c r="O13" i="5"/>
  <c r="N13" i="5"/>
  <c r="K28" i="5"/>
  <c r="L28" i="5"/>
  <c r="N40" i="5"/>
  <c r="O40" i="5"/>
  <c r="D46" i="5"/>
  <c r="D45" i="5"/>
  <c r="L13" i="5"/>
  <c r="K13" i="5"/>
  <c r="K30" i="5"/>
  <c r="F30" i="5"/>
  <c r="N22" i="4"/>
  <c r="O22" i="4"/>
  <c r="H22" i="4"/>
  <c r="D46" i="4"/>
  <c r="H40" i="4"/>
  <c r="C46" i="4"/>
  <c r="O23" i="4"/>
  <c r="N23" i="4"/>
  <c r="H23" i="4"/>
  <c r="O41" i="4"/>
  <c r="H41" i="4"/>
  <c r="N41" i="4"/>
  <c r="O11" i="4"/>
  <c r="N11" i="4"/>
  <c r="H11" i="4"/>
  <c r="O26" i="4"/>
  <c r="N26" i="4"/>
  <c r="H26" i="4"/>
  <c r="O40" i="4"/>
  <c r="N40" i="4"/>
  <c r="D28" i="4"/>
  <c r="F3" i="4"/>
  <c r="O4" i="4"/>
  <c r="N4" i="4"/>
  <c r="H4" i="4"/>
  <c r="C42" i="4"/>
  <c r="D42" i="4"/>
  <c r="B13" i="4"/>
  <c r="C45" i="4"/>
  <c r="E3" i="4"/>
  <c r="D45" i="4"/>
  <c r="E42" i="4"/>
  <c r="L42" i="4"/>
  <c r="K42" i="4"/>
  <c r="L46" i="4"/>
  <c r="H46" i="5"/>
  <c r="N30" i="5"/>
  <c r="O30" i="5"/>
  <c r="K45" i="5"/>
  <c r="L45" i="5"/>
  <c r="N45" i="5"/>
  <c r="O45" i="5"/>
  <c r="H30" i="5"/>
  <c r="K46" i="5"/>
  <c r="L46" i="5"/>
  <c r="N46" i="5"/>
  <c r="O46" i="5"/>
  <c r="H45" i="5"/>
  <c r="L30" i="5"/>
  <c r="B45" i="4"/>
  <c r="L45" i="4"/>
  <c r="B46" i="4"/>
  <c r="K46" i="4"/>
  <c r="H3" i="4"/>
  <c r="F13" i="4"/>
  <c r="F46" i="4"/>
  <c r="F28" i="4"/>
  <c r="B30" i="4"/>
  <c r="F42" i="4"/>
  <c r="E13" i="4"/>
  <c r="E28" i="4"/>
  <c r="I60" i="1"/>
  <c r="H60" i="1"/>
  <c r="G60" i="1"/>
  <c r="F60" i="1"/>
  <c r="E60" i="1"/>
  <c r="D60" i="1"/>
  <c r="C60" i="1"/>
  <c r="E112" i="1"/>
  <c r="E6" i="1"/>
  <c r="I122" i="1"/>
  <c r="I157" i="1"/>
  <c r="I97" i="1"/>
  <c r="H122" i="1"/>
  <c r="H157" i="1"/>
  <c r="G122" i="1"/>
  <c r="C123" i="1"/>
  <c r="C118" i="1"/>
  <c r="C12" i="1"/>
  <c r="F2" i="1"/>
  <c r="C3" i="1"/>
  <c r="D3" i="1"/>
  <c r="E3" i="1"/>
  <c r="F3" i="1"/>
  <c r="G3" i="1"/>
  <c r="H3" i="1"/>
  <c r="I3" i="1"/>
  <c r="C6" i="1"/>
  <c r="D6" i="1"/>
  <c r="F6" i="1"/>
  <c r="G6" i="1"/>
  <c r="H6" i="1"/>
  <c r="I6" i="1"/>
  <c r="D20" i="1"/>
  <c r="E12" i="1"/>
  <c r="E20" i="1"/>
  <c r="F20" i="1"/>
  <c r="H20" i="1"/>
  <c r="C20" i="1"/>
  <c r="G20" i="1"/>
  <c r="I20" i="1"/>
  <c r="C22" i="1"/>
  <c r="E22" i="1"/>
  <c r="G22" i="1"/>
  <c r="I22" i="1"/>
  <c r="C33" i="1"/>
  <c r="D33" i="1"/>
  <c r="D42" i="1"/>
  <c r="E33" i="1"/>
  <c r="E42" i="1"/>
  <c r="F33" i="1"/>
  <c r="F42" i="1"/>
  <c r="G33" i="1"/>
  <c r="H33" i="1"/>
  <c r="H42" i="1"/>
  <c r="I33" i="1"/>
  <c r="C42" i="1"/>
  <c r="G42" i="1"/>
  <c r="I42" i="1"/>
  <c r="C44" i="1"/>
  <c r="G44" i="1"/>
  <c r="I44" i="1"/>
  <c r="C68" i="1"/>
  <c r="D68" i="1"/>
  <c r="E68" i="1"/>
  <c r="F68" i="1"/>
  <c r="F102" i="1"/>
  <c r="G68" i="1"/>
  <c r="H68" i="1"/>
  <c r="C85" i="1"/>
  <c r="C102" i="1"/>
  <c r="D85" i="1"/>
  <c r="D108" i="1"/>
  <c r="E85" i="1"/>
  <c r="F85" i="1"/>
  <c r="G85" i="1"/>
  <c r="G102" i="1"/>
  <c r="H85" i="1"/>
  <c r="I102" i="1"/>
  <c r="H102" i="1"/>
  <c r="F104" i="1"/>
  <c r="C112" i="1"/>
  <c r="D112" i="1"/>
  <c r="F112" i="1"/>
  <c r="G112" i="1"/>
  <c r="H112" i="1"/>
  <c r="I112" i="1"/>
  <c r="C120" i="1"/>
  <c r="D120" i="1"/>
  <c r="E120" i="1"/>
  <c r="F120" i="1"/>
  <c r="G120" i="1"/>
  <c r="H120" i="1"/>
  <c r="I120" i="1"/>
  <c r="C122" i="1"/>
  <c r="C157" i="1"/>
  <c r="D122" i="1"/>
  <c r="E122" i="1"/>
  <c r="F122" i="1"/>
  <c r="C135" i="1"/>
  <c r="D135" i="1"/>
  <c r="E135" i="1"/>
  <c r="F135" i="1"/>
  <c r="G135" i="1"/>
  <c r="H135" i="1"/>
  <c r="C149" i="1"/>
  <c r="C159" i="1"/>
  <c r="C173" i="1"/>
  <c r="D149" i="1"/>
  <c r="E149" i="1"/>
  <c r="F149" i="1"/>
  <c r="F159" i="1"/>
  <c r="F173" i="1"/>
  <c r="G149" i="1"/>
  <c r="H149" i="1"/>
  <c r="H159" i="1"/>
  <c r="H173" i="1"/>
  <c r="I149" i="1"/>
  <c r="D159" i="1"/>
  <c r="D173" i="1"/>
  <c r="C170" i="1"/>
  <c r="D170" i="1"/>
  <c r="E170" i="1"/>
  <c r="F170" i="1"/>
  <c r="G170" i="1"/>
  <c r="H170" i="1"/>
  <c r="I170" i="1"/>
  <c r="H104" i="1"/>
  <c r="D104" i="1"/>
  <c r="E44" i="1"/>
  <c r="E102" i="1"/>
  <c r="E108" i="1"/>
  <c r="F103" i="1"/>
  <c r="G157" i="1"/>
  <c r="H108" i="1"/>
  <c r="E157" i="1"/>
  <c r="E171" i="1"/>
  <c r="E172" i="1"/>
  <c r="I43" i="1"/>
  <c r="E43" i="1"/>
  <c r="F157" i="1"/>
  <c r="F158" i="1"/>
  <c r="D157" i="1"/>
  <c r="D171" i="1"/>
  <c r="G43" i="1"/>
  <c r="C43" i="1"/>
  <c r="E21" i="1"/>
  <c r="I21" i="1"/>
  <c r="H103" i="1"/>
  <c r="D103" i="1"/>
  <c r="F108" i="1"/>
  <c r="G21" i="1"/>
  <c r="C21" i="1"/>
  <c r="G159" i="1"/>
  <c r="G173" i="1"/>
  <c r="E159" i="1"/>
  <c r="E173" i="1"/>
  <c r="I159" i="1"/>
  <c r="I173" i="1"/>
  <c r="F171" i="1"/>
  <c r="F172" i="1"/>
  <c r="I105" i="1"/>
  <c r="G105" i="1"/>
  <c r="E105" i="1"/>
  <c r="C105" i="1"/>
  <c r="H105" i="1"/>
  <c r="F105" i="1"/>
  <c r="D105" i="1"/>
  <c r="D106" i="1"/>
  <c r="I108" i="1"/>
  <c r="G108" i="1"/>
  <c r="C108" i="1"/>
  <c r="I104" i="1"/>
  <c r="I107" i="1"/>
  <c r="G104" i="1"/>
  <c r="G107" i="1"/>
  <c r="E104" i="1"/>
  <c r="E107" i="1"/>
  <c r="C104" i="1"/>
  <c r="C107" i="1"/>
  <c r="H44" i="1"/>
  <c r="H43" i="1"/>
  <c r="F44" i="1"/>
  <c r="F43" i="1"/>
  <c r="D44" i="1"/>
  <c r="D43" i="1"/>
  <c r="H22" i="1"/>
  <c r="F22" i="1"/>
  <c r="D22" i="1"/>
  <c r="F107" i="1"/>
  <c r="D107" i="1"/>
  <c r="H107" i="1"/>
  <c r="H106" i="1"/>
  <c r="F106" i="1"/>
  <c r="C103" i="1"/>
  <c r="E103" i="1"/>
  <c r="G103" i="1"/>
  <c r="I103" i="1"/>
  <c r="D21" i="1"/>
  <c r="F21" i="1"/>
  <c r="H21" i="1"/>
  <c r="C106" i="1"/>
  <c r="E106" i="1"/>
  <c r="G106" i="1"/>
  <c r="I106" i="1"/>
  <c r="G171" i="1"/>
  <c r="G172" i="1"/>
  <c r="G158" i="1"/>
  <c r="K45" i="4"/>
  <c r="O46" i="4"/>
  <c r="N46" i="4"/>
  <c r="H13" i="4"/>
  <c r="E46" i="4"/>
  <c r="O28" i="4"/>
  <c r="N28" i="4"/>
  <c r="H28" i="4"/>
  <c r="O42" i="4"/>
  <c r="N42" i="4"/>
  <c r="H42" i="4"/>
  <c r="O13" i="4"/>
  <c r="N13" i="4"/>
  <c r="F30" i="4"/>
  <c r="F45" i="4"/>
  <c r="E45" i="4"/>
  <c r="E30" i="4"/>
  <c r="D172" i="1"/>
  <c r="C171" i="1"/>
  <c r="C172" i="1"/>
  <c r="C158" i="1"/>
  <c r="H171" i="1"/>
  <c r="H172" i="1"/>
  <c r="H158" i="1"/>
  <c r="I171" i="1"/>
  <c r="I172" i="1"/>
  <c r="I158" i="1"/>
  <c r="E158" i="1"/>
  <c r="D158" i="1"/>
  <c r="H46" i="4"/>
  <c r="H30" i="4"/>
  <c r="O45" i="4"/>
  <c r="N45" i="4"/>
  <c r="H45" i="4"/>
  <c r="O30" i="4"/>
  <c r="N30" i="4"/>
</calcChain>
</file>

<file path=xl/comments1.xml><?xml version="1.0" encoding="utf-8"?>
<comments xmlns="http://schemas.openxmlformats.org/spreadsheetml/2006/main">
  <authors>
    <author>virginie.chapus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à revoir car incohérences</t>
        </r>
      </text>
    </comment>
  </commentList>
</comments>
</file>

<file path=xl/sharedStrings.xml><?xml version="1.0" encoding="utf-8"?>
<sst xmlns="http://schemas.openxmlformats.org/spreadsheetml/2006/main" count="253" uniqueCount="179">
  <si>
    <t>Collecte de données pour la campagne d’habilitation :</t>
  </si>
  <si>
    <t>BUDGET FONCTIONNEMENT ANALYTIQUE</t>
  </si>
  <si>
    <t>DÉPENSES</t>
  </si>
  <si>
    <t>- 64 Masse salariale permanents :( ne pas remplir cette ligne)</t>
  </si>
  <si>
    <t>- 641 Salaires bruts</t>
  </si>
  <si>
    <t>- 645 &amp; 631 Cotisations patronales &amp; taxes salaires &amp; part formation pro</t>
  </si>
  <si>
    <t>- valorisation mises à disposition (fait le total du détail ci-dessous)</t>
  </si>
  <si>
    <t>Ville :</t>
  </si>
  <si>
    <t>Métropole :</t>
  </si>
  <si>
    <t>Autre intercommunalité :</t>
  </si>
  <si>
    <t>Conseil départemental :</t>
  </si>
  <si>
    <t>Conseil régional :</t>
  </si>
  <si>
    <t>Université :</t>
  </si>
  <si>
    <t>Autres :</t>
  </si>
  <si>
    <t>S/Total complet</t>
  </si>
  <si>
    <t>S/Total hors valorisation</t>
  </si>
  <si>
    <t>S/Total valorisation</t>
  </si>
  <si>
    <t>- 64 Masse salariale pédagogique  : ( ne pas remplir cette ligne)</t>
  </si>
  <si>
    <t xml:space="preserve">   - Autres (détailler)</t>
  </si>
  <si>
    <t xml:space="preserve">  -  Salaires pédagogiques financés par la taxe d'apprentissage </t>
  </si>
  <si>
    <t xml:space="preserve">   - 604 &amp; 611 : Achat prestations ou sous-traitance pédagogiques</t>
  </si>
  <si>
    <t>- valorisations mises à disposition (fait le total du détail ci-dessous)</t>
  </si>
  <si>
    <t>Ville : xxxxx</t>
  </si>
  <si>
    <t>S/Total valorisations</t>
  </si>
  <si>
    <t>Autres charges : ( ne pas remplir cette ligne)</t>
  </si>
  <si>
    <t>- 60 Achats : ( ne pas remplir cette ligne)</t>
  </si>
  <si>
    <t xml:space="preserve">  601-602 Achats stockés</t>
  </si>
  <si>
    <t xml:space="preserve">  603 Variations stocks</t>
  </si>
  <si>
    <t xml:space="preserve">  604 Achat prestations</t>
  </si>
  <si>
    <t xml:space="preserve">  605 Achats matériels, équipements et travaux</t>
  </si>
  <si>
    <t xml:space="preserve">  606 achats fluides</t>
  </si>
  <si>
    <t xml:space="preserve">  606 autres achats </t>
  </si>
  <si>
    <t xml:space="preserve">  606 achats pédagogiques (partitions, mat pédag non immobilisé…)</t>
  </si>
  <si>
    <t xml:space="preserve">  606 achats pédagogiques financés par la taxe d'apprentissage</t>
  </si>
  <si>
    <t xml:space="preserve"> - autres achats</t>
  </si>
  <si>
    <t>- 61-62 Services extérieurs &amp; autres services ext. : ( ne pas remplir cette ligne)</t>
  </si>
  <si>
    <t xml:space="preserve">  611- 612 sous générale, crédit bail…</t>
  </si>
  <si>
    <t xml:space="preserve">  613 locations (hors loyers)</t>
  </si>
  <si>
    <t xml:space="preserve">  613- 614   Loyers et charges locatives</t>
  </si>
  <si>
    <t xml:space="preserve">  615-616-617 </t>
  </si>
  <si>
    <t xml:space="preserve">  618  frais colloques et documentation</t>
  </si>
  <si>
    <t>- valorisations mises à disposition locaux (fait le total du détail ci-dessous)</t>
  </si>
  <si>
    <t xml:space="preserve"> Ville :</t>
  </si>
  <si>
    <t xml:space="preserve"> Métropole :</t>
  </si>
  <si>
    <t xml:space="preserve"> Autre intercommunalité :</t>
  </si>
  <si>
    <t xml:space="preserve"> Conseil départemental :</t>
  </si>
  <si>
    <t xml:space="preserve"> Conseil régional :</t>
  </si>
  <si>
    <t xml:space="preserve"> Université :</t>
  </si>
  <si>
    <t xml:space="preserve"> Autres :</t>
  </si>
  <si>
    <t xml:space="preserve"> 621 Personnel détaché, intérimaire ou prêté</t>
  </si>
  <si>
    <t xml:space="preserve"> 622 honoraires</t>
  </si>
  <si>
    <t xml:space="preserve"> 623 Communication (annonces, catalogues…)</t>
  </si>
  <si>
    <t xml:space="preserve"> 624 transports</t>
  </si>
  <si>
    <t xml:space="preserve"> 625 Déplacements permanents</t>
  </si>
  <si>
    <t xml:space="preserve"> 625 Déplacements formateurs</t>
  </si>
  <si>
    <t xml:space="preserve"> 625  Déplacements étudiants</t>
  </si>
  <si>
    <t xml:space="preserve"> 628 droits d'entrée, adhésion… (comue, ASSOCIATION…)</t>
  </si>
  <si>
    <t xml:space="preserve"> 626 628 autres services extérieurs</t>
  </si>
  <si>
    <t xml:space="preserve">   - Autres valorisations : (préciser)</t>
  </si>
  <si>
    <t>xxx</t>
  </si>
  <si>
    <t xml:space="preserve"> 62-65 ERASMUS (mobilité enseignants et étudiants)</t>
  </si>
  <si>
    <t xml:space="preserve"> 635 Impôts &amp; taxes (hors salaires)</t>
  </si>
  <si>
    <t>-651 droits d'auteurs, droits voisins</t>
  </si>
  <si>
    <t xml:space="preserve"> 63 &amp; 65 autres charges diverses et partenariats</t>
  </si>
  <si>
    <t xml:space="preserve"> 66 charges financières</t>
  </si>
  <si>
    <t xml:space="preserve"> 67 charges exceptionnelles</t>
  </si>
  <si>
    <t xml:space="preserve">   - utilisation taxe apprentissage</t>
  </si>
  <si>
    <t>- 68 Dotations aux amortissements et provisions (ne pas remplir cette ligne)</t>
  </si>
  <si>
    <t xml:space="preserve">    681 Dotations amortissements</t>
  </si>
  <si>
    <t xml:space="preserve">    689 Dotations fonds dédiés</t>
  </si>
  <si>
    <t xml:space="preserve">    68 autres (préciser)</t>
  </si>
  <si>
    <r>
      <t xml:space="preserve">- 695 Impôts sur les sociétés </t>
    </r>
    <r>
      <rPr>
        <sz val="7"/>
        <rFont val="Verdana"/>
        <family val="2"/>
      </rPr>
      <t>(sur les placements,…)</t>
    </r>
  </si>
  <si>
    <t>S/Total complet général</t>
  </si>
  <si>
    <t>Total général hors valorisation</t>
  </si>
  <si>
    <t>Total général valorisations</t>
  </si>
  <si>
    <t>TOTAL DES DÉPENSES</t>
  </si>
  <si>
    <t>RECETTES</t>
  </si>
  <si>
    <t>- 70 Recettes pédagogiques  : frais d'inscription (concours et examens)</t>
  </si>
  <si>
    <t>- 70 Recettes pédagogiques : frais de scolarité</t>
  </si>
  <si>
    <t>- 70 Recettes pédagogiques : autres (dont form. continue, vae…)</t>
  </si>
  <si>
    <t>- 709 Remises accordées (étudiants boursiers, remise VAE…)</t>
  </si>
  <si>
    <t>- Autres 70 et 756 (adhésion …)</t>
  </si>
  <si>
    <t xml:space="preserve">- 74 taxe apprentissage reçue affectée aux charges pédagogiques </t>
  </si>
  <si>
    <t>S/Total</t>
  </si>
  <si>
    <t>- 74 Subventions d'exploitation ou contributions ( formule total)</t>
  </si>
  <si>
    <t xml:space="preserve">   - DRAC  - DGCA préciser (subvention de base)</t>
  </si>
  <si>
    <t xml:space="preserve">   - DRAC  - DGCA préciser (réserve de précaution – subvention de base)</t>
  </si>
  <si>
    <t xml:space="preserve">   - DRAC  - DGCA  préciser (EAT)</t>
  </si>
  <si>
    <t xml:space="preserve">   - DRAC  - DGCA  préciser (réserve de précaution – EAT)</t>
  </si>
  <si>
    <t xml:space="preserve">   - Autres Ministères préciser</t>
  </si>
  <si>
    <t xml:space="preserve">   - Ville de </t>
  </si>
  <si>
    <t xml:space="preserve">   - Métropole de </t>
  </si>
  <si>
    <t xml:space="preserve">   - Autres intercommunalité</t>
  </si>
  <si>
    <t xml:space="preserve">   - Conseil départemental</t>
  </si>
  <si>
    <t xml:space="preserve">  - Conseil régional</t>
  </si>
  <si>
    <t xml:space="preserve">  - Université</t>
  </si>
  <si>
    <t>- 74 Autres subventions liées aux projets</t>
  </si>
  <si>
    <t xml:space="preserve">  - DRAC ou DGCA (préciser) partenariat recherche</t>
  </si>
  <si>
    <t xml:space="preserve">  - DRAC ou DGCA (préciser) Autre projet</t>
  </si>
  <si>
    <t xml:space="preserve">  - Autres ministères, préciser</t>
  </si>
  <si>
    <t xml:space="preserve">  - Ville :</t>
  </si>
  <si>
    <t xml:space="preserve">  - Métropole :</t>
  </si>
  <si>
    <t xml:space="preserve">  - Autre intercommunalité :</t>
  </si>
  <si>
    <t xml:space="preserve">  - Conseil départemental :</t>
  </si>
  <si>
    <t xml:space="preserve">  - Conseil régional :</t>
  </si>
  <si>
    <t xml:space="preserve">  - Université :</t>
  </si>
  <si>
    <t xml:space="preserve">  - Autre, préciser</t>
  </si>
  <si>
    <t>- 74 ERASMUS</t>
  </si>
  <si>
    <t xml:space="preserve">Total valorisations locaux, personnel, autres </t>
  </si>
  <si>
    <t xml:space="preserve">   - Ville :</t>
  </si>
  <si>
    <t xml:space="preserve">  - Autres :</t>
  </si>
  <si>
    <t>S/Total hors valorisation &amp; contributions</t>
  </si>
  <si>
    <t xml:space="preserve"> - 755 Quote part opérations faites en commun</t>
  </si>
  <si>
    <t xml:space="preserve"> - 75711 - QP taxe apprentissage affectée investissement </t>
  </si>
  <si>
    <t xml:space="preserve"> - 758 Produits divers de gestion courante</t>
  </si>
  <si>
    <t xml:space="preserve"> - 761 À 768 Produits financiers</t>
  </si>
  <si>
    <t xml:space="preserve"> - 77 produits exceptionnels</t>
  </si>
  <si>
    <t xml:space="preserve"> - 789 Reprise fonds dédiés</t>
  </si>
  <si>
    <t xml:space="preserve"> - 791 transfert charges emplois aidés </t>
  </si>
  <si>
    <t xml:space="preserve">  -791  transfert de charges sur éléments de salaires</t>
  </si>
  <si>
    <t xml:space="preserve">  - 77 à 79 autres</t>
  </si>
  <si>
    <t>TOTAL DES RECETTES</t>
  </si>
  <si>
    <t>Total hors valorisation &amp; contributions</t>
  </si>
  <si>
    <t>Total valorisation</t>
  </si>
  <si>
    <t xml:space="preserve">  - Autres (bourses, produits ouvrant droit exoneration, ..)</t>
  </si>
  <si>
    <t xml:space="preserve">  - Fonds européens dont une partie transite par notre établissement</t>
  </si>
  <si>
    <t>dépenses</t>
  </si>
  <si>
    <t>masse salariale</t>
  </si>
  <si>
    <t>dont MS support</t>
  </si>
  <si>
    <t>dont MS pédago</t>
  </si>
  <si>
    <t>fct</t>
  </si>
  <si>
    <t>dont execpt + amo</t>
  </si>
  <si>
    <t>dont autres</t>
  </si>
  <si>
    <t>dépenses hors excep et amo</t>
  </si>
  <si>
    <t>recettes</t>
  </si>
  <si>
    <t>Etat</t>
  </si>
  <si>
    <t>collectivités territoriales</t>
  </si>
  <si>
    <t>taxe d'apprentissage</t>
  </si>
  <si>
    <t>erasmus</t>
  </si>
  <si>
    <t>dts d'inscrip</t>
  </si>
  <si>
    <t>except et quotes parts</t>
  </si>
  <si>
    <t>recettes hors except et QP</t>
  </si>
  <si>
    <t>résultat</t>
  </si>
  <si>
    <t>CAF</t>
  </si>
  <si>
    <t>INVTS</t>
  </si>
  <si>
    <t>niveau du FDR</t>
  </si>
  <si>
    <t>apport (+) ou prélèvt (-) au FDR</t>
  </si>
  <si>
    <t>nb d'étudiants</t>
  </si>
  <si>
    <t>dont FI</t>
  </si>
  <si>
    <t>dont FC</t>
  </si>
  <si>
    <t>coût étudiant hors excep et hors invt</t>
  </si>
  <si>
    <t xml:space="preserve">drts d'incript par étudiant </t>
  </si>
  <si>
    <t>écart 2016 prev 2018</t>
  </si>
  <si>
    <t>écart 2016 prev 2020</t>
  </si>
  <si>
    <t xml:space="preserve">NOM DE L'ÉTABLISSEMENT </t>
  </si>
  <si>
    <t>dont prestations pédago</t>
  </si>
  <si>
    <t>dont loyers et charges locatives</t>
  </si>
  <si>
    <t>moyenne sur 5 ans</t>
  </si>
  <si>
    <t>Réalisé N-2</t>
  </si>
  <si>
    <t>Réalisé N-1</t>
  </si>
  <si>
    <t>Prévisionnel N</t>
  </si>
  <si>
    <t>Prévisionnel N+1</t>
  </si>
  <si>
    <t>Prévisionnel N+2</t>
  </si>
  <si>
    <t>2015-2016</t>
  </si>
  <si>
    <t>2016-2017</t>
  </si>
  <si>
    <t>2017-2018</t>
  </si>
  <si>
    <t>2018-2019</t>
  </si>
  <si>
    <t>2019-2020</t>
  </si>
  <si>
    <t>coût étudiant hors excep et hors invt et hors charges loc</t>
  </si>
  <si>
    <t>recettes propres non liées à la pédago (mécénat, privatisations…)</t>
  </si>
  <si>
    <t>autres recettes (VAE, FC, COMUE billetterie, spectacles…)</t>
  </si>
  <si>
    <t>frais de sco</t>
  </si>
  <si>
    <t>frais de sco par étudiant</t>
  </si>
  <si>
    <t>2020-2021</t>
  </si>
  <si>
    <t>Activité transférée au 01/01/2019</t>
  </si>
  <si>
    <t>moyenne sur 3 ans</t>
  </si>
  <si>
    <t>écart 2017 prev 2019</t>
  </si>
  <si>
    <t>écart 2017 prev 2021</t>
  </si>
  <si>
    <t>Association de préfiguration de l'Ecole supérieure des arts du cirque Toulouse-Occitanie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</si>
</sst>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yyyy"/>
    <numFmt numFmtId="165" formatCode="#,##0.00\ [$€-40C];[Red]\-#,##0.00\ [$€-40C]"/>
    <numFmt numFmtId="166" formatCode="#,##0_ ;\-#,##0\ "/>
  </numFmts>
  <fonts count="39" x14ac:knownFonts="1">
    <font>
      <sz val="10"/>
      <name val="Arial"/>
      <family val="2"/>
    </font>
    <font>
      <sz val="11"/>
      <name val="Arial"/>
      <family val="2"/>
    </font>
    <font>
      <b/>
      <sz val="15"/>
      <color indexed="8"/>
      <name val="Times New Roman"/>
      <family val="1"/>
    </font>
    <font>
      <b/>
      <sz val="3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10"/>
      <name val="Times New Roman"/>
      <family val="1"/>
    </font>
    <font>
      <b/>
      <sz val="25"/>
      <color indexed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i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60"/>
      <name val="Times New Roman"/>
      <family val="1"/>
    </font>
    <font>
      <i/>
      <sz val="11"/>
      <color indexed="60"/>
      <name val="Times New Roman"/>
      <family val="1"/>
    </font>
    <font>
      <sz val="10"/>
      <name val="Verdana"/>
      <family val="2"/>
    </font>
    <font>
      <sz val="7"/>
      <name val="Verdana"/>
      <family val="2"/>
    </font>
    <font>
      <b/>
      <sz val="11"/>
      <color indexed="60"/>
      <name val="Times New Roman"/>
      <family val="1"/>
    </font>
    <font>
      <u/>
      <sz val="11"/>
      <name val="Times New Roman"/>
      <family val="1"/>
    </font>
    <font>
      <b/>
      <sz val="11"/>
      <color indexed="25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wrapText="1"/>
    </xf>
    <xf numFmtId="164" fontId="3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Protection="1"/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 applyProtection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6" fillId="0" borderId="9" xfId="0" applyNumberFormat="1" applyFont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right" vertical="center" wrapText="1"/>
    </xf>
    <xf numFmtId="49" fontId="8" fillId="0" borderId="10" xfId="0" applyNumberFormat="1" applyFont="1" applyBorder="1" applyAlignment="1">
      <alignment vertical="center" wrapText="1"/>
    </xf>
    <xf numFmtId="49" fontId="8" fillId="0" borderId="7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 applyProtection="1">
      <alignment vertical="center" wrapText="1"/>
    </xf>
    <xf numFmtId="49" fontId="15" fillId="0" borderId="7" xfId="0" applyNumberFormat="1" applyFont="1" applyBorder="1" applyAlignment="1" applyProtection="1">
      <alignment vertical="center" wrapText="1"/>
    </xf>
    <xf numFmtId="49" fontId="16" fillId="0" borderId="7" xfId="0" applyNumberFormat="1" applyFont="1" applyBorder="1" applyAlignment="1" applyProtection="1">
      <alignment vertical="center" wrapText="1"/>
      <protection locked="0"/>
    </xf>
    <xf numFmtId="49" fontId="17" fillId="0" borderId="7" xfId="0" applyNumberFormat="1" applyFont="1" applyBorder="1" applyAlignment="1">
      <alignment vertical="center" wrapText="1"/>
    </xf>
    <xf numFmtId="49" fontId="6" fillId="0" borderId="6" xfId="0" applyNumberFormat="1" applyFont="1" applyBorder="1" applyAlignment="1" applyProtection="1">
      <alignment horizontal="right" vertical="center" wrapText="1"/>
    </xf>
    <xf numFmtId="49" fontId="4" fillId="0" borderId="11" xfId="0" applyNumberFormat="1" applyFont="1" applyBorder="1" applyAlignment="1" applyProtection="1">
      <alignment horizontal="right" vertical="center" wrapText="1"/>
    </xf>
    <xf numFmtId="49" fontId="4" fillId="0" borderId="12" xfId="0" applyNumberFormat="1" applyFont="1" applyBorder="1" applyAlignment="1" applyProtection="1">
      <alignment horizontal="right" vertical="center" wrapText="1"/>
    </xf>
    <xf numFmtId="49" fontId="19" fillId="0" borderId="12" xfId="0" applyNumberFormat="1" applyFont="1" applyBorder="1" applyAlignment="1" applyProtection="1">
      <alignment horizontal="right" vertical="center" wrapText="1"/>
    </xf>
    <xf numFmtId="49" fontId="20" fillId="0" borderId="13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 applyProtection="1">
      <alignment vertical="center" wrapText="1"/>
    </xf>
    <xf numFmtId="49" fontId="21" fillId="0" borderId="10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 applyProtection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49" fontId="4" fillId="0" borderId="9" xfId="0" applyNumberFormat="1" applyFont="1" applyBorder="1" applyAlignment="1" applyProtection="1">
      <alignment horizontal="right" vertical="center" wrapText="1"/>
    </xf>
    <xf numFmtId="49" fontId="22" fillId="0" borderId="9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49" fontId="24" fillId="0" borderId="16" xfId="0" applyNumberFormat="1" applyFont="1" applyBorder="1" applyAlignment="1">
      <alignment vertical="center" wrapText="1"/>
    </xf>
    <xf numFmtId="49" fontId="25" fillId="0" borderId="16" xfId="0" applyNumberFormat="1" applyFont="1" applyBorder="1" applyAlignment="1">
      <alignment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6" fillId="0" borderId="0" xfId="0" applyFont="1"/>
    <xf numFmtId="0" fontId="27" fillId="0" borderId="0" xfId="0" applyFont="1"/>
    <xf numFmtId="49" fontId="28" fillId="0" borderId="13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5" fontId="29" fillId="0" borderId="8" xfId="0" applyNumberFormat="1" applyFont="1" applyBorder="1"/>
    <xf numFmtId="165" fontId="29" fillId="0" borderId="8" xfId="0" applyNumberFormat="1" applyFont="1" applyBorder="1" applyProtection="1"/>
    <xf numFmtId="44" fontId="30" fillId="0" borderId="16" xfId="1" applyFont="1" applyBorder="1"/>
    <xf numFmtId="165" fontId="29" fillId="0" borderId="8" xfId="0" applyNumberFormat="1" applyFont="1" applyBorder="1" applyProtection="1">
      <protection locked="0"/>
    </xf>
    <xf numFmtId="44" fontId="31" fillId="0" borderId="16" xfId="1" applyFont="1" applyBorder="1"/>
    <xf numFmtId="165" fontId="32" fillId="0" borderId="8" xfId="0" applyNumberFormat="1" applyFont="1" applyBorder="1" applyProtection="1"/>
    <xf numFmtId="44" fontId="33" fillId="0" borderId="0" xfId="1" applyFont="1"/>
    <xf numFmtId="165" fontId="32" fillId="0" borderId="14" xfId="0" applyNumberFormat="1" applyFont="1" applyBorder="1" applyProtection="1"/>
    <xf numFmtId="0" fontId="29" fillId="0" borderId="8" xfId="0" applyFont="1" applyBorder="1"/>
    <xf numFmtId="44" fontId="30" fillId="0" borderId="16" xfId="1" applyFont="1" applyFill="1" applyBorder="1"/>
    <xf numFmtId="44" fontId="33" fillId="0" borderId="0" xfId="1" applyFont="1" applyFill="1"/>
    <xf numFmtId="165" fontId="32" fillId="0" borderId="8" xfId="0" applyNumberFormat="1" applyFont="1" applyBorder="1" applyProtection="1">
      <protection locked="0"/>
    </xf>
    <xf numFmtId="0" fontId="33" fillId="0" borderId="0" xfId="0" applyFont="1"/>
    <xf numFmtId="165" fontId="29" fillId="0" borderId="14" xfId="0" applyNumberFormat="1" applyFont="1" applyBorder="1" applyProtection="1"/>
    <xf numFmtId="0" fontId="29" fillId="0" borderId="0" xfId="0" applyFont="1"/>
    <xf numFmtId="165" fontId="29" fillId="0" borderId="0" xfId="0" applyNumberFormat="1" applyFont="1"/>
    <xf numFmtId="49" fontId="20" fillId="0" borderId="10" xfId="0" applyNumberFormat="1" applyFont="1" applyBorder="1" applyAlignment="1" applyProtection="1">
      <alignment horizontal="center" vertical="center" wrapText="1"/>
    </xf>
    <xf numFmtId="165" fontId="32" fillId="0" borderId="0" xfId="0" applyNumberFormat="1" applyFont="1" applyBorder="1" applyProtection="1"/>
    <xf numFmtId="0" fontId="35" fillId="4" borderId="17" xfId="3" applyFont="1" applyFill="1" applyBorder="1"/>
    <xf numFmtId="166" fontId="35" fillId="4" borderId="17" xfId="4" applyNumberFormat="1" applyFont="1" applyFill="1" applyBorder="1" applyAlignment="1">
      <alignment horizontal="right"/>
    </xf>
    <xf numFmtId="0" fontId="36" fillId="5" borderId="0" xfId="3" applyFont="1" applyFill="1"/>
    <xf numFmtId="0" fontId="35" fillId="5" borderId="17" xfId="3" applyFont="1" applyFill="1" applyBorder="1"/>
    <xf numFmtId="166" fontId="35" fillId="5" borderId="17" xfId="4" applyNumberFormat="1" applyFont="1" applyFill="1" applyBorder="1" applyAlignment="1">
      <alignment horizontal="right"/>
    </xf>
    <xf numFmtId="0" fontId="36" fillId="5" borderId="17" xfId="3" applyFont="1" applyFill="1" applyBorder="1"/>
    <xf numFmtId="166" fontId="36" fillId="5" borderId="17" xfId="4" applyNumberFormat="1" applyFont="1" applyFill="1" applyBorder="1" applyAlignment="1">
      <alignment horizontal="right"/>
    </xf>
    <xf numFmtId="166" fontId="36" fillId="5" borderId="0" xfId="4" applyNumberFormat="1" applyFont="1" applyFill="1" applyAlignment="1">
      <alignment horizontal="right"/>
    </xf>
    <xf numFmtId="166" fontId="35" fillId="6" borderId="17" xfId="4" applyNumberFormat="1" applyFont="1" applyFill="1" applyBorder="1" applyAlignment="1">
      <alignment horizontal="right"/>
    </xf>
    <xf numFmtId="9" fontId="35" fillId="4" borderId="17" xfId="2" applyFont="1" applyFill="1" applyBorder="1" applyAlignment="1">
      <alignment horizontal="right"/>
    </xf>
    <xf numFmtId="9" fontId="35" fillId="5" borderId="17" xfId="2" applyFont="1" applyFill="1" applyBorder="1" applyAlignment="1">
      <alignment horizontal="right"/>
    </xf>
    <xf numFmtId="9" fontId="36" fillId="5" borderId="17" xfId="2" applyFont="1" applyFill="1" applyBorder="1" applyAlignment="1">
      <alignment horizontal="right"/>
    </xf>
    <xf numFmtId="9" fontId="36" fillId="5" borderId="0" xfId="2" applyFont="1" applyFill="1" applyAlignment="1">
      <alignment horizontal="right"/>
    </xf>
    <xf numFmtId="9" fontId="36" fillId="5" borderId="0" xfId="2" applyFont="1" applyFill="1"/>
    <xf numFmtId="9" fontId="35" fillId="6" borderId="17" xfId="2" applyFont="1" applyFill="1" applyBorder="1" applyAlignment="1">
      <alignment horizontal="right"/>
    </xf>
    <xf numFmtId="166" fontId="36" fillId="6" borderId="17" xfId="4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 applyProtection="1">
      <alignment vertical="center" wrapText="1"/>
    </xf>
    <xf numFmtId="0" fontId="35" fillId="5" borderId="0" xfId="3" applyFont="1" applyFill="1"/>
    <xf numFmtId="0" fontId="4" fillId="7" borderId="4" xfId="0" applyFont="1" applyFill="1" applyBorder="1" applyAlignment="1" applyProtection="1">
      <alignment horizontal="center" vertical="center" wrapText="1"/>
    </xf>
    <xf numFmtId="0" fontId="36" fillId="5" borderId="0" xfId="3" applyFont="1" applyFill="1" applyBorder="1"/>
    <xf numFmtId="166" fontId="36" fillId="5" borderId="0" xfId="4" applyNumberFormat="1" applyFont="1" applyFill="1" applyBorder="1" applyAlignment="1">
      <alignment horizontal="right"/>
    </xf>
    <xf numFmtId="9" fontId="36" fillId="5" borderId="0" xfId="2" applyFont="1" applyFill="1" applyBorder="1" applyAlignment="1">
      <alignment horizontal="right"/>
    </xf>
    <xf numFmtId="0" fontId="35" fillId="5" borderId="17" xfId="3" applyFont="1" applyFill="1" applyBorder="1" applyAlignment="1">
      <alignment wrapText="1"/>
    </xf>
    <xf numFmtId="0" fontId="35" fillId="4" borderId="17" xfId="3" applyFont="1" applyFill="1" applyBorder="1" applyAlignment="1">
      <alignment wrapText="1"/>
    </xf>
    <xf numFmtId="166" fontId="36" fillId="8" borderId="17" xfId="4" applyNumberFormat="1" applyFont="1" applyFill="1" applyBorder="1" applyAlignment="1">
      <alignment horizontal="right"/>
    </xf>
    <xf numFmtId="166" fontId="35" fillId="8" borderId="17" xfId="4" applyNumberFormat="1" applyFont="1" applyFill="1" applyBorder="1" applyAlignment="1">
      <alignment horizontal="right"/>
    </xf>
    <xf numFmtId="166" fontId="35" fillId="4" borderId="17" xfId="3" applyNumberFormat="1" applyFont="1" applyFill="1" applyBorder="1"/>
    <xf numFmtId="166" fontId="35" fillId="8" borderId="20" xfId="4" applyNumberFormat="1" applyFont="1" applyFill="1" applyBorder="1" applyAlignment="1"/>
    <xf numFmtId="166" fontId="35" fillId="8" borderId="21" xfId="4" applyNumberFormat="1" applyFont="1" applyFill="1" applyBorder="1" applyAlignment="1"/>
    <xf numFmtId="166" fontId="35" fillId="8" borderId="24" xfId="4" applyNumberFormat="1" applyFont="1" applyFill="1" applyBorder="1" applyAlignment="1"/>
    <xf numFmtId="166" fontId="35" fillId="8" borderId="25" xfId="4" applyNumberFormat="1" applyFont="1" applyFill="1" applyBorder="1" applyAlignment="1"/>
    <xf numFmtId="49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166" fontId="35" fillId="8" borderId="20" xfId="4" applyNumberFormat="1" applyFont="1" applyFill="1" applyBorder="1" applyAlignment="1">
      <alignment horizontal="center" vertical="center"/>
    </xf>
    <xf numFmtId="166" fontId="35" fillId="8" borderId="21" xfId="4" applyNumberFormat="1" applyFont="1" applyFill="1" applyBorder="1" applyAlignment="1">
      <alignment horizontal="center" vertical="center"/>
    </xf>
    <xf numFmtId="166" fontId="35" fillId="8" borderId="24" xfId="4" applyNumberFormat="1" applyFont="1" applyFill="1" applyBorder="1" applyAlignment="1">
      <alignment horizontal="center" vertical="center"/>
    </xf>
    <xf numFmtId="166" fontId="35" fillId="8" borderId="25" xfId="4" applyNumberFormat="1" applyFont="1" applyFill="1" applyBorder="1" applyAlignment="1">
      <alignment horizontal="center" vertical="center"/>
    </xf>
    <xf numFmtId="166" fontId="35" fillId="8" borderId="22" xfId="4" applyNumberFormat="1" applyFont="1" applyFill="1" applyBorder="1" applyAlignment="1">
      <alignment horizontal="center" vertical="center"/>
    </xf>
    <xf numFmtId="166" fontId="35" fillId="8" borderId="23" xfId="4" applyNumberFormat="1" applyFont="1" applyFill="1" applyBorder="1" applyAlignment="1">
      <alignment horizontal="center" vertical="center"/>
    </xf>
    <xf numFmtId="0" fontId="36" fillId="5" borderId="0" xfId="3" applyFont="1" applyFill="1" applyAlignment="1">
      <alignment wrapText="1"/>
    </xf>
  </cellXfs>
  <cellStyles count="5">
    <cellStyle name="Milliers 2" xfId="4"/>
    <cellStyle name="Monétaire" xfId="1" builtinId="4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462651873888"/>
          <c:y val="0.100744588744589"/>
          <c:w val="0.846564500061409"/>
          <c:h val="0.620697685516583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(2)'!$A$3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(2)'!$B$3:$F$3</c:f>
              <c:numCache>
                <c:formatCode>#\ ##0_ ;\-#\ ##0\ </c:formatCode>
                <c:ptCount val="5"/>
                <c:pt idx="0">
                  <c:v>1.4106936E7</c:v>
                </c:pt>
                <c:pt idx="1">
                  <c:v>1.44745784201828E7</c:v>
                </c:pt>
                <c:pt idx="2">
                  <c:v>1.48565037230439E7</c:v>
                </c:pt>
                <c:pt idx="3">
                  <c:v>1.50526572892744E7</c:v>
                </c:pt>
                <c:pt idx="4">
                  <c:v>1.52524100470371E7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0B-4193-B91B-406F05944A01}"/>
            </c:ext>
          </c:extLst>
        </c:ser>
        <c:ser>
          <c:idx val="1"/>
          <c:order val="1"/>
          <c:tx>
            <c:strRef>
              <c:f>'analyse fi (2)'!$A$4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(2)'!$B$4:$F$4</c:f>
              <c:numCache>
                <c:formatCode>#\ ##0_ ;\-#\ ##0\ </c:formatCode>
                <c:ptCount val="5"/>
                <c:pt idx="0">
                  <c:v>1.091577E7</c:v>
                </c:pt>
                <c:pt idx="1">
                  <c:v>1.10901784201828E7</c:v>
                </c:pt>
                <c:pt idx="2">
                  <c:v>1.14270772730439E7</c:v>
                </c:pt>
                <c:pt idx="3">
                  <c:v>1.15413480457744E7</c:v>
                </c:pt>
                <c:pt idx="4">
                  <c:v>1.16567615262321E7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0B-4193-B91B-406F05944A01}"/>
            </c:ext>
          </c:extLst>
        </c:ser>
        <c:ser>
          <c:idx val="2"/>
          <c:order val="2"/>
          <c:tx>
            <c:strRef>
              <c:f>'analyse fi (2)'!$A$5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(2)'!$B$5:$F$5</c:f>
              <c:numCache>
                <c:formatCode>#\ ##0_ ;\-#\ ##0\ </c:formatCode>
                <c:ptCount val="5"/>
                <c:pt idx="0">
                  <c:v>3.41117834918177E6</c:v>
                </c:pt>
                <c:pt idx="1">
                  <c:v>3.48E6</c:v>
                </c:pt>
                <c:pt idx="2">
                  <c:v>3.58393726664086E6</c:v>
                </c:pt>
                <c:pt idx="3">
                  <c:v>3.61977663930727E6</c:v>
                </c:pt>
                <c:pt idx="4">
                  <c:v>3.65597440570034E6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0B-4193-B91B-406F05944A01}"/>
            </c:ext>
          </c:extLst>
        </c:ser>
        <c:ser>
          <c:idx val="3"/>
          <c:order val="3"/>
          <c:tx>
            <c:strRef>
              <c:f>'analyse fi (2)'!$A$6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(2)'!$B$6:$F$6</c:f>
              <c:numCache>
                <c:formatCode>#\ ##0_ ;\-#\ ##0\ </c:formatCode>
                <c:ptCount val="5"/>
                <c:pt idx="0">
                  <c:v>7.50459165081823E6</c:v>
                </c:pt>
                <c:pt idx="1">
                  <c:v>7.6101784201828E6</c:v>
                </c:pt>
                <c:pt idx="2">
                  <c:v>7.84314000640306E6</c:v>
                </c:pt>
                <c:pt idx="3">
                  <c:v>7.92157140646709E6</c:v>
                </c:pt>
                <c:pt idx="4">
                  <c:v>8.00078712053176E6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0B-4193-B91B-406F05944A01}"/>
            </c:ext>
          </c:extLst>
        </c:ser>
        <c:ser>
          <c:idx val="4"/>
          <c:order val="4"/>
          <c:tx>
            <c:strRef>
              <c:f>'analyse fi (2)'!$A$7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(2)'!$B$7:$F$7</c:f>
              <c:numCache>
                <c:formatCode>#\ ##0_ ;\-#\ ##0\ </c:formatCode>
                <c:ptCount val="5"/>
                <c:pt idx="0">
                  <c:v>3.191166E6</c:v>
                </c:pt>
                <c:pt idx="1">
                  <c:v>3.3844E6</c:v>
                </c:pt>
                <c:pt idx="2">
                  <c:v>3.42942645E6</c:v>
                </c:pt>
                <c:pt idx="3">
                  <c:v>3.5113092435E6</c:v>
                </c:pt>
                <c:pt idx="4">
                  <c:v>3.595648520805E6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D0B-4193-B91B-406F05944A01}"/>
            </c:ext>
          </c:extLst>
        </c:ser>
        <c:ser>
          <c:idx val="5"/>
          <c:order val="5"/>
          <c:tx>
            <c:strRef>
              <c:f>'analyse fi (2)'!$A$8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(2)'!$B$8:$F$8</c:f>
              <c:numCache>
                <c:formatCode>#\ ##0_ ;\-#\ ##0\ </c:formatCode>
                <c:ptCount val="5"/>
                <c:pt idx="0">
                  <c:v>700000.0</c:v>
                </c:pt>
                <c:pt idx="1">
                  <c:v>700000.0</c:v>
                </c:pt>
                <c:pt idx="2">
                  <c:v>700000.0</c:v>
                </c:pt>
                <c:pt idx="3">
                  <c:v>700000.0</c:v>
                </c:pt>
                <c:pt idx="4">
                  <c:v>700000.0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D0B-4193-B91B-406F05944A01}"/>
            </c:ext>
          </c:extLst>
        </c:ser>
        <c:ser>
          <c:idx val="6"/>
          <c:order val="6"/>
          <c:tx>
            <c:strRef>
              <c:f>'analyse fi (2)'!$A$11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(2)'!$B$11:$F$11</c:f>
              <c:numCache>
                <c:formatCode>#\ ##0_ ;\-#\ ##0\ </c:formatCode>
                <c:ptCount val="5"/>
                <c:pt idx="0">
                  <c:v>2.491166E6</c:v>
                </c:pt>
                <c:pt idx="1">
                  <c:v>2.6844E6</c:v>
                </c:pt>
                <c:pt idx="2">
                  <c:v>2.72942645E6</c:v>
                </c:pt>
                <c:pt idx="3">
                  <c:v>2.8113092435E6</c:v>
                </c:pt>
                <c:pt idx="4">
                  <c:v>2.895648520805E6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D0B-4193-B91B-406F0594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99224"/>
        <c:axId val="140358408"/>
      </c:lineChart>
      <c:catAx>
        <c:axId val="14039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358408"/>
        <c:crosses val="autoZero"/>
        <c:auto val="1"/>
        <c:lblAlgn val="ctr"/>
        <c:lblOffset val="100"/>
        <c:noMultiLvlLbl val="0"/>
      </c:catAx>
      <c:valAx>
        <c:axId val="14035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 ##0_ ;\-#\ 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399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(2)'!$B$15:$F$15</c:f>
              <c:numCache>
                <c:formatCode>#\ ##0_ ;\-#\ ##0\ </c:formatCode>
                <c:ptCount val="5"/>
                <c:pt idx="0">
                  <c:v>1.4594974E7</c:v>
                </c:pt>
                <c:pt idx="1">
                  <c:v>1.4556E7</c:v>
                </c:pt>
                <c:pt idx="2">
                  <c:v>1.4496019E7</c:v>
                </c:pt>
                <c:pt idx="3">
                  <c:v>1.4616E7</c:v>
                </c:pt>
                <c:pt idx="4">
                  <c:v>1.4971E7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E7-4097-B439-A4727761BEA2}"/>
            </c:ext>
          </c:extLst>
        </c:ser>
        <c:ser>
          <c:idx val="1"/>
          <c:order val="1"/>
          <c:tx>
            <c:strRef>
              <c:f>'analyse fi (2)'!$A$16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(2)'!$B$16:$F$16</c:f>
              <c:numCache>
                <c:formatCode>#\ ##0_ ;\-#\ ##0\ </c:formatCode>
                <c:ptCount val="5"/>
                <c:pt idx="0">
                  <c:v>1.313933E7</c:v>
                </c:pt>
                <c:pt idx="1">
                  <c:v>1.3235E7</c:v>
                </c:pt>
                <c:pt idx="2">
                  <c:v>1.3110019E7</c:v>
                </c:pt>
                <c:pt idx="3">
                  <c:v>1.32E7</c:v>
                </c:pt>
                <c:pt idx="4">
                  <c:v>1.35E7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E7-4097-B439-A4727761BEA2}"/>
            </c:ext>
          </c:extLst>
        </c:ser>
        <c:ser>
          <c:idx val="2"/>
          <c:order val="2"/>
          <c:tx>
            <c:strRef>
              <c:f>'analyse fi (2)'!$A$17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(2)'!$B$17:$F$17</c:f>
              <c:numCache>
                <c:formatCode>#\ ##0_ ;\-#\ ##0\ 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0E7-4097-B439-A4727761BEA2}"/>
            </c:ext>
          </c:extLst>
        </c:ser>
        <c:ser>
          <c:idx val="3"/>
          <c:order val="3"/>
          <c:tx>
            <c:strRef>
              <c:f>'analyse fi (2)'!$A$18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(2)'!$B$18:$F$18</c:f>
              <c:numCache>
                <c:formatCode>#\ ##0_ ;\-#\ ##0\ </c:formatCode>
                <c:ptCount val="5"/>
                <c:pt idx="0">
                  <c:v>30000.0</c:v>
                </c:pt>
                <c:pt idx="1">
                  <c:v>30000.0</c:v>
                </c:pt>
                <c:pt idx="2">
                  <c:v>30000.0</c:v>
                </c:pt>
                <c:pt idx="3">
                  <c:v>30000.0</c:v>
                </c:pt>
                <c:pt idx="4">
                  <c:v>30000.0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0E7-4097-B439-A4727761BEA2}"/>
            </c:ext>
          </c:extLst>
        </c:ser>
        <c:ser>
          <c:idx val="4"/>
          <c:order val="4"/>
          <c:tx>
            <c:strRef>
              <c:f>'analyse fi (2)'!$A$19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(2)'!$B$19:$F$19</c:f>
              <c:numCache>
                <c:formatCode>#\ ##0_ ;\-#\ ##0\ 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0E7-4097-B439-A4727761BEA2}"/>
            </c:ext>
          </c:extLst>
        </c:ser>
        <c:ser>
          <c:idx val="5"/>
          <c:order val="5"/>
          <c:tx>
            <c:strRef>
              <c:f>'analyse fi (2)'!$A$20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(2)'!$B$20:$F$20</c:f>
              <c:numCache>
                <c:formatCode>#\ ##0_ ;\-#\ ##0\ </c:formatCode>
                <c:ptCount val="5"/>
                <c:pt idx="0">
                  <c:v>370000.0</c:v>
                </c:pt>
                <c:pt idx="1">
                  <c:v>376000.0</c:v>
                </c:pt>
                <c:pt idx="2">
                  <c:v>376000.0</c:v>
                </c:pt>
                <c:pt idx="3">
                  <c:v>396000.0</c:v>
                </c:pt>
                <c:pt idx="4">
                  <c:v>426000.0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0E7-4097-B439-A4727761BEA2}"/>
            </c:ext>
          </c:extLst>
        </c:ser>
        <c:ser>
          <c:idx val="6"/>
          <c:order val="6"/>
          <c:tx>
            <c:strRef>
              <c:f>'analyse fi (2)'!$A$21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(2)'!$B$21:$F$21</c:f>
              <c:numCache>
                <c:formatCode>#\ ##0_ ;\-#\ ##0\ </c:formatCode>
                <c:ptCount val="5"/>
                <c:pt idx="0">
                  <c:v>230000.0</c:v>
                </c:pt>
                <c:pt idx="1">
                  <c:v>290000.0</c:v>
                </c:pt>
                <c:pt idx="2">
                  <c:v>290000.0</c:v>
                </c:pt>
                <c:pt idx="3">
                  <c:v>300000.0</c:v>
                </c:pt>
                <c:pt idx="4">
                  <c:v>325000.0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0E7-4097-B439-A4727761BEA2}"/>
            </c:ext>
          </c:extLst>
        </c:ser>
        <c:ser>
          <c:idx val="7"/>
          <c:order val="7"/>
          <c:tx>
            <c:strRef>
              <c:f>'analyse fi (2)'!$A$23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(2)'!$B$23:$F$23</c:f>
              <c:numCache>
                <c:formatCode>#\ ##0_ ;\-#\ ##0\ </c:formatCode>
                <c:ptCount val="5"/>
                <c:pt idx="0">
                  <c:v>288644.0</c:v>
                </c:pt>
                <c:pt idx="1">
                  <c:v>100000.0</c:v>
                </c:pt>
                <c:pt idx="2">
                  <c:v>165000.0</c:v>
                </c:pt>
                <c:pt idx="3">
                  <c:v>165000.0</c:v>
                </c:pt>
                <c:pt idx="4">
                  <c:v>165000.0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0E7-4097-B439-A4727761BEA2}"/>
            </c:ext>
          </c:extLst>
        </c:ser>
        <c:ser>
          <c:idx val="8"/>
          <c:order val="8"/>
          <c:tx>
            <c:strRef>
              <c:f>'analyse fi (2)'!$A$24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(2)'!$B$24:$F$24</c:f>
              <c:numCache>
                <c:formatCode>#\ ##0_ ;\-#\ ##0\ </c:formatCode>
                <c:ptCount val="5"/>
                <c:pt idx="0">
                  <c:v>537000.0</c:v>
                </c:pt>
                <c:pt idx="1">
                  <c:v>525000.0</c:v>
                </c:pt>
                <c:pt idx="2">
                  <c:v>525000.0</c:v>
                </c:pt>
                <c:pt idx="3">
                  <c:v>525000.0</c:v>
                </c:pt>
                <c:pt idx="4">
                  <c:v>525000.0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0E7-4097-B439-A4727761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077976"/>
        <c:axId val="664081368"/>
      </c:lineChart>
      <c:catAx>
        <c:axId val="66407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081368"/>
        <c:crosses val="autoZero"/>
        <c:auto val="1"/>
        <c:lblAlgn val="ctr"/>
        <c:lblOffset val="100"/>
        <c:noMultiLvlLbl val="0"/>
      </c:catAx>
      <c:valAx>
        <c:axId val="66408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 ##0_ ;\-#\ 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077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(2)'!$B$28:$F$28</c:f>
              <c:numCache>
                <c:formatCode>#\ ##0_ ;\-#\ ##0\ </c:formatCode>
                <c:ptCount val="5"/>
                <c:pt idx="0">
                  <c:v>488038.0</c:v>
                </c:pt>
                <c:pt idx="1">
                  <c:v>81421.57981720194</c:v>
                </c:pt>
                <c:pt idx="2">
                  <c:v>-360484.7230439223</c:v>
                </c:pt>
                <c:pt idx="3">
                  <c:v>-436657.2892743628</c:v>
                </c:pt>
                <c:pt idx="4">
                  <c:v>-281410.047037106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A6-472F-A1D9-61C06AC7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102904"/>
        <c:axId val="664106424"/>
      </c:lineChart>
      <c:catAx>
        <c:axId val="66410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106424"/>
        <c:crosses val="autoZero"/>
        <c:auto val="1"/>
        <c:lblAlgn val="ctr"/>
        <c:lblOffset val="100"/>
        <c:noMultiLvlLbl val="0"/>
      </c:catAx>
      <c:valAx>
        <c:axId val="66410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 ##0_ ;\-#\ 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10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462651873888"/>
          <c:y val="0.100744588744589"/>
          <c:w val="0.846564500061409"/>
          <c:h val="0.620697685516583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(3)'!$A$3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(3)'!$B$3:$F$3</c:f>
              <c:numCache>
                <c:formatCode>#\ ##0_ ;\-#\ ##0\ 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988000.0</c:v>
                </c:pt>
                <c:pt idx="3">
                  <c:v>1.10125E6</c:v>
                </c:pt>
                <c:pt idx="4">
                  <c:v>1.14125E6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F5-4C34-BB0C-819671FDEF37}"/>
            </c:ext>
          </c:extLst>
        </c:ser>
        <c:ser>
          <c:idx val="1"/>
          <c:order val="1"/>
          <c:tx>
            <c:strRef>
              <c:f>'analyse fi (3)'!$A$4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(3)'!$B$4:$F$4</c:f>
              <c:numCache>
                <c:formatCode>#\ ##0_ ;\-#\ ##0\ 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380076.0</c:v>
                </c:pt>
                <c:pt idx="3">
                  <c:v>506952.0</c:v>
                </c:pt>
                <c:pt idx="4">
                  <c:v>565592.0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F5-4C34-BB0C-819671FDEF37}"/>
            </c:ext>
          </c:extLst>
        </c:ser>
        <c:ser>
          <c:idx val="2"/>
          <c:order val="2"/>
          <c:tx>
            <c:strRef>
              <c:f>'analyse fi (3)'!$A$5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(3)'!$B$5:$F$5</c:f>
              <c:numCache>
                <c:formatCode>#\ ##0_ ;\-#\ ##0\ </c:formatCode>
                <c:ptCount val="5"/>
                <c:pt idx="0">
                  <c:v>0.0</c:v>
                </c:pt>
                <c:pt idx="2">
                  <c:v>274425.0</c:v>
                </c:pt>
                <c:pt idx="3">
                  <c:v>281926.0</c:v>
                </c:pt>
                <c:pt idx="4">
                  <c:v>281926.0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EF5-4C34-BB0C-819671FDEF37}"/>
            </c:ext>
          </c:extLst>
        </c:ser>
        <c:ser>
          <c:idx val="3"/>
          <c:order val="3"/>
          <c:tx>
            <c:strRef>
              <c:f>'analyse fi (3)'!$A$6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(3)'!$B$6:$F$6</c:f>
              <c:numCache>
                <c:formatCode>#\ ##0_ ;\-#\ ##0\ </c:formatCode>
                <c:ptCount val="5"/>
                <c:pt idx="2">
                  <c:v>105651.0</c:v>
                </c:pt>
                <c:pt idx="3">
                  <c:v>225026.0</c:v>
                </c:pt>
                <c:pt idx="4">
                  <c:v>283666.0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EF5-4C34-BB0C-819671FDEF37}"/>
            </c:ext>
          </c:extLst>
        </c:ser>
        <c:ser>
          <c:idx val="4"/>
          <c:order val="4"/>
          <c:tx>
            <c:strRef>
              <c:f>'analyse fi (3)'!$A$7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(3)'!$B$7:$F$7</c:f>
              <c:numCache>
                <c:formatCode>#\ ##0_ ;\-#\ ##0\ 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607924.0</c:v>
                </c:pt>
                <c:pt idx="3">
                  <c:v>594298.0</c:v>
                </c:pt>
                <c:pt idx="4">
                  <c:v>575658.0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EF5-4C34-BB0C-819671FDEF37}"/>
            </c:ext>
          </c:extLst>
        </c:ser>
        <c:ser>
          <c:idx val="5"/>
          <c:order val="5"/>
          <c:tx>
            <c:strRef>
              <c:f>'analyse fi (3)'!$A$8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(3)'!$B$8:$F$8</c:f>
              <c:numCache>
                <c:formatCode>#\ ##0_ ;\-#\ ##0\ </c:formatCode>
                <c:ptCount val="5"/>
                <c:pt idx="0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EF5-4C34-BB0C-819671FDEF37}"/>
            </c:ext>
          </c:extLst>
        </c:ser>
        <c:ser>
          <c:idx val="6"/>
          <c:order val="6"/>
          <c:tx>
            <c:strRef>
              <c:f>'analyse fi (3)'!$A$11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(3)'!$B$11:$F$11</c:f>
              <c:numCache>
                <c:formatCode>#\ ##0_ ;\-#\ ##0\ </c:formatCode>
                <c:ptCount val="5"/>
                <c:pt idx="2">
                  <c:v>230227.0</c:v>
                </c:pt>
                <c:pt idx="3">
                  <c:v>269298.0</c:v>
                </c:pt>
                <c:pt idx="4">
                  <c:v>270658.0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EF5-4C34-BB0C-819671FD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012696"/>
        <c:axId val="664016088"/>
      </c:lineChart>
      <c:catAx>
        <c:axId val="66401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016088"/>
        <c:crosses val="autoZero"/>
        <c:auto val="1"/>
        <c:lblAlgn val="ctr"/>
        <c:lblOffset val="100"/>
        <c:noMultiLvlLbl val="0"/>
      </c:catAx>
      <c:valAx>
        <c:axId val="66401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 ##0_ ;\-#\ 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01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(3)'!$B$15:$F$15</c:f>
              <c:numCache>
                <c:formatCode>#\ ##0_ ;\-#\ ##0\ 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988000.0</c:v>
                </c:pt>
                <c:pt idx="3">
                  <c:v>1.10125E6</c:v>
                </c:pt>
                <c:pt idx="4">
                  <c:v>1.14125E6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5-4163-8FDF-88FB836B4AC0}"/>
            </c:ext>
          </c:extLst>
        </c:ser>
        <c:ser>
          <c:idx val="1"/>
          <c:order val="1"/>
          <c:tx>
            <c:strRef>
              <c:f>'analyse fi (3)'!$A$16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(3)'!$B$16:$F$16</c:f>
              <c:numCache>
                <c:formatCode>#\ ##0_ ;\-#\ ##0\ </c:formatCode>
                <c:ptCount val="5"/>
                <c:pt idx="0">
                  <c:v>0.0</c:v>
                </c:pt>
                <c:pt idx="2">
                  <c:v>158000.0</c:v>
                </c:pt>
                <c:pt idx="3">
                  <c:v>203000.0</c:v>
                </c:pt>
                <c:pt idx="4">
                  <c:v>213000.0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5-4163-8FDF-88FB836B4AC0}"/>
            </c:ext>
          </c:extLst>
        </c:ser>
        <c:ser>
          <c:idx val="2"/>
          <c:order val="2"/>
          <c:tx>
            <c:strRef>
              <c:f>'analyse fi (3)'!$A$17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(3)'!$B$17:$F$17</c:f>
              <c:numCache>
                <c:formatCode>#\ ##0_ ;\-#\ ##0\ </c:formatCode>
                <c:ptCount val="5"/>
                <c:pt idx="2">
                  <c:v>703000.0</c:v>
                </c:pt>
                <c:pt idx="3">
                  <c:v>768000.0</c:v>
                </c:pt>
                <c:pt idx="4">
                  <c:v>798000.0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5-4163-8FDF-88FB836B4AC0}"/>
            </c:ext>
          </c:extLst>
        </c:ser>
        <c:ser>
          <c:idx val="3"/>
          <c:order val="3"/>
          <c:tx>
            <c:strRef>
              <c:f>'analyse fi (3)'!$A$18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(3)'!$B$18:$F$18</c:f>
              <c:numCache>
                <c:formatCode>#\ ##0_ ;\-#\ ##0\ 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5-4163-8FDF-88FB836B4AC0}"/>
            </c:ext>
          </c:extLst>
        </c:ser>
        <c:ser>
          <c:idx val="4"/>
          <c:order val="4"/>
          <c:tx>
            <c:strRef>
              <c:f>'analyse fi (3)'!$A$19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(3)'!$B$19:$F$19</c:f>
              <c:numCache>
                <c:formatCode>#\ ##0_ ;\-#\ ##0\ 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5-4163-8FDF-88FB836B4AC0}"/>
            </c:ext>
          </c:extLst>
        </c:ser>
        <c:ser>
          <c:idx val="5"/>
          <c:order val="5"/>
          <c:tx>
            <c:strRef>
              <c:f>'analyse fi (3)'!$A$20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(3)'!$B$20:$F$20</c:f>
              <c:numCache>
                <c:formatCode>#\ ##0_ ;\-#\ ##0\ </c:formatCode>
                <c:ptCount val="5"/>
                <c:pt idx="2">
                  <c:v>6500.0</c:v>
                </c:pt>
                <c:pt idx="3">
                  <c:v>9750.0</c:v>
                </c:pt>
                <c:pt idx="4">
                  <c:v>9750.0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5-4163-8FDF-88FB836B4AC0}"/>
            </c:ext>
          </c:extLst>
        </c:ser>
        <c:ser>
          <c:idx val="6"/>
          <c:order val="6"/>
          <c:tx>
            <c:strRef>
              <c:f>'analyse fi (3)'!$A$21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(3)'!$B$21:$F$21</c:f>
              <c:numCache>
                <c:formatCode>#\ ##0_ ;\-#\ ##0\ 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815-4163-8FDF-88FB836B4AC0}"/>
            </c:ext>
          </c:extLst>
        </c:ser>
        <c:ser>
          <c:idx val="7"/>
          <c:order val="7"/>
          <c:tx>
            <c:strRef>
              <c:f>'analyse fi (3)'!$A$23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(3)'!$B$23:$F$23</c:f>
              <c:numCache>
                <c:formatCode>#\ ##0_ ;\-#\ ##0\ </c:formatCode>
                <c:ptCount val="5"/>
                <c:pt idx="2">
                  <c:v>120500.0</c:v>
                </c:pt>
                <c:pt idx="3">
                  <c:v>120500.0</c:v>
                </c:pt>
                <c:pt idx="4">
                  <c:v>120500.0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815-4163-8FDF-88FB836B4AC0}"/>
            </c:ext>
          </c:extLst>
        </c:ser>
        <c:ser>
          <c:idx val="8"/>
          <c:order val="8"/>
          <c:tx>
            <c:strRef>
              <c:f>'analyse fi (3)'!$A$24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(3)'!$B$24:$F$24</c:f>
              <c:numCache>
                <c:formatCode>#\ ##0_ ;\-#\ ##0\ 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815-4163-8FDF-88FB836B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020264"/>
        <c:axId val="720074664"/>
      </c:lineChart>
      <c:catAx>
        <c:axId val="72002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0074664"/>
        <c:crosses val="autoZero"/>
        <c:auto val="1"/>
        <c:lblAlgn val="ctr"/>
        <c:lblOffset val="100"/>
        <c:noMultiLvlLbl val="0"/>
      </c:catAx>
      <c:valAx>
        <c:axId val="72007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 ##0_ ;\-#\ 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002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(3)'!$B$28:$F$28</c:f>
              <c:numCache>
                <c:formatCode>#\ ##0_ ;\-#\ ##0\ 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D7-476C-87E1-AA794774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92760"/>
        <c:axId val="720014568"/>
      </c:lineChart>
      <c:catAx>
        <c:axId val="7193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0014568"/>
        <c:crosses val="autoZero"/>
        <c:auto val="1"/>
        <c:lblAlgn val="ctr"/>
        <c:lblOffset val="100"/>
        <c:noMultiLvlLbl val="0"/>
      </c:catAx>
      <c:valAx>
        <c:axId val="72001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 ##0_ ;\-#\ 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9392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virginie.chapus/Desktop/accreditations%20analyse%20fi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 - Notice"/>
      <sheetName val="1- Présentation générale"/>
      <sheetName val="2 - RH"/>
      <sheetName val="3 - Cursus"/>
      <sheetName val="4 - Étudiants"/>
      <sheetName val="5 - Diplômés"/>
      <sheetName val="6 - Budget"/>
      <sheetName val="6bis - Calcul affectation"/>
      <sheetName val="analyse fi"/>
      <sheetName val="BDD_établissements"/>
      <sheetName val="BDD_établissements_suite"/>
      <sheetName val="BDD_diplômes"/>
      <sheetName val="BDD_spécialités"/>
      <sheetName val="BDD_spécialités_suite"/>
      <sheetName val="BDD_domaines"/>
      <sheetName val="BDD_budget"/>
      <sheetName val="Rapport sur la compatibilité"/>
    </sheetNames>
    <sheetDataSet>
      <sheetData sheetId="0"/>
      <sheetData sheetId="1"/>
      <sheetData sheetId="2"/>
      <sheetData sheetId="3"/>
      <sheetData sheetId="4"/>
      <sheetData sheetId="5"/>
      <sheetData sheetId="6">
        <row r="201">
          <cell r="G201">
            <v>235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83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40</v>
          </cell>
          <cell r="AP201">
            <v>0</v>
          </cell>
          <cell r="AQ201">
            <v>0</v>
          </cell>
          <cell r="AR201">
            <v>0</v>
          </cell>
          <cell r="AS201">
            <v>20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202</v>
          </cell>
          <cell r="AZ201">
            <v>0</v>
          </cell>
          <cell r="BA201">
            <v>15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J224"/>
  <sheetViews>
    <sheetView view="pageBreakPreview" zoomScale="130" zoomScaleSheetLayoutView="130" workbookViewId="0">
      <selection activeCell="L172" sqref="L172"/>
    </sheetView>
  </sheetViews>
  <sheetFormatPr baseColWidth="10" defaultColWidth="11.5" defaultRowHeight="13" x14ac:dyDescent="0"/>
  <cols>
    <col min="1" max="1" width="2.6640625" customWidth="1"/>
    <col min="2" max="2" width="64.5" style="1" customWidth="1"/>
    <col min="3" max="4" width="15.1640625" customWidth="1"/>
    <col min="5" max="5" width="17.5" customWidth="1"/>
    <col min="6" max="9" width="15.1640625" customWidth="1"/>
  </cols>
  <sheetData>
    <row r="2" spans="2:10" ht="35.75" customHeight="1">
      <c r="B2" s="105" t="s">
        <v>0</v>
      </c>
      <c r="C2" s="105"/>
      <c r="D2" s="105"/>
      <c r="E2" s="2">
        <v>42949</v>
      </c>
      <c r="F2" s="3" t="str">
        <f>"-  "&amp;TEXT(E2+366,"aaaa")</f>
        <v>-  2018</v>
      </c>
      <c r="G2" s="4"/>
      <c r="H2" s="4"/>
      <c r="I2" s="5"/>
      <c r="J2" s="6"/>
    </row>
    <row r="3" spans="2:10" s="55" customFormat="1" ht="23.75" customHeight="1">
      <c r="B3" s="7" t="s">
        <v>1</v>
      </c>
      <c r="C3" s="50" t="str">
        <f>"Réalisé "&amp;TEXT(E2-2*365,"aaaa")</f>
        <v>Réalisé 2015</v>
      </c>
      <c r="D3" s="50" t="str">
        <f>"Réalisé "&amp;TEXT(E2-365,"aaaa")</f>
        <v>Réalisé 2016</v>
      </c>
      <c r="E3" s="50" t="str">
        <f>"Réalisé "&amp;TEXT(E2,"aaaa")</f>
        <v>Réalisé 2017</v>
      </c>
      <c r="F3" s="50" t="str">
        <f>"Prévisionnel "&amp;TEXT(E2,"aaaa")</f>
        <v>Prévisionnel 2017</v>
      </c>
      <c r="G3" s="50" t="str">
        <f>"Prévisionnel "&amp;TEXT(E2+366,"aaaa")</f>
        <v>Prévisionnel 2018</v>
      </c>
      <c r="H3" s="50" t="str">
        <f>"Prévisionnel "&amp;TEXT(E2+2*366,"aaaa")</f>
        <v>Prévisionnel 2019</v>
      </c>
      <c r="I3" s="50" t="str">
        <f>"Prévisionnel "&amp;TEXT(E2+3*366,"aaaa")</f>
        <v>Prévisionnel 2020</v>
      </c>
      <c r="J3" s="54"/>
    </row>
    <row r="4" spans="2:10" ht="14" thickBot="1">
      <c r="B4" s="9"/>
      <c r="C4" s="10"/>
      <c r="D4" s="10"/>
      <c r="E4" s="10"/>
      <c r="F4" s="10"/>
      <c r="G4" s="10"/>
      <c r="H4" s="10"/>
      <c r="I4" s="10"/>
      <c r="J4" s="6"/>
    </row>
    <row r="5" spans="2:10" ht="41" customHeight="1">
      <c r="B5" s="90" t="s">
        <v>2</v>
      </c>
      <c r="C5" s="90"/>
      <c r="D5" s="90"/>
      <c r="E5" s="90"/>
      <c r="F5" s="90"/>
      <c r="G5" s="90"/>
      <c r="H5" s="90"/>
      <c r="I5" s="90"/>
      <c r="J5" s="6"/>
    </row>
    <row r="6" spans="2:10" s="55" customFormat="1" ht="31" customHeight="1">
      <c r="B6" s="11"/>
      <c r="C6" s="50" t="str">
        <f>"Réalisé "&amp;TEXT(E2-2*365,"aaaa")</f>
        <v>Réalisé 2015</v>
      </c>
      <c r="D6" s="50" t="str">
        <f>"Réalisé "&amp;TEXT(E2-365,"aaaa")</f>
        <v>Réalisé 2016</v>
      </c>
      <c r="E6" s="50" t="str">
        <f>"Estimation Réalisé "&amp;TEXT(E2,"aaaa")</f>
        <v>Estimation Réalisé 2017</v>
      </c>
      <c r="F6" s="50" t="str">
        <f>"Prévisionnel "&amp;TEXT(E2,"aaaa")</f>
        <v>Prévisionnel 2017</v>
      </c>
      <c r="G6" s="50" t="str">
        <f>"Prévisionnel "&amp;TEXT(E2+366,"aaaa")</f>
        <v>Prévisionnel 2018</v>
      </c>
      <c r="H6" s="50" t="str">
        <f>"Prévisionnel "&amp;TEXT(E2+2*366,"aaaa")</f>
        <v>Prévisionnel 2019</v>
      </c>
      <c r="I6" s="50" t="str">
        <f>"Prévisionnel "&amp;TEXT(E2+3*366,"aaaa")</f>
        <v>Prévisionnel 2020</v>
      </c>
      <c r="J6" s="54"/>
    </row>
    <row r="7" spans="2:10" ht="3.5" customHeight="1">
      <c r="B7" s="12"/>
      <c r="C7" s="56"/>
      <c r="D7" s="56"/>
      <c r="E7" s="56"/>
      <c r="F7" s="56"/>
      <c r="G7" s="56"/>
      <c r="H7" s="56"/>
      <c r="I7" s="56"/>
      <c r="J7" s="6"/>
    </row>
    <row r="8" spans="2:10" ht="3.5" customHeight="1">
      <c r="B8" s="12"/>
      <c r="C8" s="56"/>
      <c r="D8" s="56"/>
      <c r="E8" s="56"/>
      <c r="F8" s="56"/>
      <c r="G8" s="56"/>
      <c r="H8" s="56"/>
      <c r="I8" s="56"/>
      <c r="J8" s="6"/>
    </row>
    <row r="9" spans="2:10">
      <c r="B9" s="13" t="s">
        <v>3</v>
      </c>
      <c r="C9" s="57"/>
      <c r="D9" s="57"/>
      <c r="E9" s="57"/>
      <c r="F9" s="57"/>
      <c r="G9" s="57"/>
      <c r="H9" s="57"/>
      <c r="I9" s="57"/>
      <c r="J9" s="6"/>
    </row>
    <row r="10" spans="2:10">
      <c r="B10" s="14" t="s">
        <v>4</v>
      </c>
      <c r="C10" s="58">
        <v>2460511.875</v>
      </c>
      <c r="D10" s="58">
        <v>2500819.2375128777</v>
      </c>
      <c r="E10" s="59">
        <v>2550000</v>
      </c>
      <c r="F10" s="58">
        <v>2628060.1993885199</v>
      </c>
      <c r="G10" s="58">
        <v>2654340.8013824052</v>
      </c>
      <c r="H10" s="58">
        <v>2680884.2093962291</v>
      </c>
      <c r="I10" s="58">
        <v>2707693.0514901914</v>
      </c>
      <c r="J10" s="6"/>
    </row>
    <row r="11" spans="2:10">
      <c r="B11" s="14" t="s">
        <v>5</v>
      </c>
      <c r="C11" s="58">
        <v>895686.24999999988</v>
      </c>
      <c r="D11" s="58">
        <v>910359.11166889535</v>
      </c>
      <c r="E11" s="59">
        <v>930000</v>
      </c>
      <c r="F11" s="58">
        <v>955877.06725234014</v>
      </c>
      <c r="G11" s="58">
        <v>965435.83792486356</v>
      </c>
      <c r="H11" s="58">
        <v>975090.19630411221</v>
      </c>
      <c r="I11" s="58">
        <v>984841.09826715337</v>
      </c>
      <c r="J11" s="6"/>
    </row>
    <row r="12" spans="2:10">
      <c r="B12" s="15" t="s">
        <v>6</v>
      </c>
      <c r="C12" s="60">
        <f t="shared" ref="C12" si="0">SUM(C13:C19)</f>
        <v>0</v>
      </c>
      <c r="D12" s="60">
        <v>0</v>
      </c>
      <c r="E12" s="57">
        <f t="shared" ref="E12" si="1">SUM(E13:E19)</f>
        <v>0</v>
      </c>
      <c r="F12" s="60">
        <v>0</v>
      </c>
      <c r="G12" s="58">
        <v>0</v>
      </c>
      <c r="H12" s="58">
        <v>0</v>
      </c>
      <c r="I12" s="57">
        <v>0</v>
      </c>
      <c r="J12" s="6"/>
    </row>
    <row r="13" spans="2:10" hidden="1">
      <c r="B13" s="16" t="s">
        <v>7</v>
      </c>
      <c r="C13" s="59"/>
      <c r="D13" s="59"/>
      <c r="E13" s="59"/>
      <c r="F13" s="59"/>
      <c r="G13" s="59"/>
      <c r="H13" s="59"/>
      <c r="I13" s="59"/>
      <c r="J13" s="6"/>
    </row>
    <row r="14" spans="2:10" hidden="1">
      <c r="B14" s="16" t="s">
        <v>8</v>
      </c>
      <c r="C14" s="59"/>
      <c r="D14" s="59"/>
      <c r="E14" s="59"/>
      <c r="F14" s="59"/>
      <c r="G14" s="59"/>
      <c r="H14" s="59"/>
      <c r="I14" s="59"/>
      <c r="J14" s="6"/>
    </row>
    <row r="15" spans="2:10" hidden="1">
      <c r="B15" s="16" t="s">
        <v>9</v>
      </c>
      <c r="C15" s="59"/>
      <c r="D15" s="59"/>
      <c r="E15" s="59"/>
      <c r="F15" s="59"/>
      <c r="G15" s="59"/>
      <c r="H15" s="59"/>
      <c r="I15" s="59"/>
      <c r="J15" s="6"/>
    </row>
    <row r="16" spans="2:10" hidden="1">
      <c r="B16" s="16" t="s">
        <v>10</v>
      </c>
      <c r="C16" s="59"/>
      <c r="D16" s="59"/>
      <c r="E16" s="59"/>
      <c r="F16" s="59"/>
      <c r="G16" s="59"/>
      <c r="H16" s="59"/>
      <c r="I16" s="59"/>
      <c r="J16" s="6"/>
    </row>
    <row r="17" spans="2:10" hidden="1">
      <c r="B17" s="16" t="s">
        <v>11</v>
      </c>
      <c r="C17" s="59"/>
      <c r="D17" s="59"/>
      <c r="E17" s="59"/>
      <c r="F17" s="59"/>
      <c r="G17" s="59"/>
      <c r="H17" s="59"/>
      <c r="I17" s="59"/>
      <c r="J17" s="6"/>
    </row>
    <row r="18" spans="2:10" hidden="1">
      <c r="B18" s="16" t="s">
        <v>12</v>
      </c>
      <c r="C18" s="59"/>
      <c r="D18" s="59"/>
      <c r="E18" s="59"/>
      <c r="F18" s="59"/>
      <c r="G18" s="59"/>
      <c r="H18" s="59"/>
      <c r="I18" s="59"/>
      <c r="J18" s="6"/>
    </row>
    <row r="19" spans="2:10" hidden="1">
      <c r="B19" s="16" t="s">
        <v>13</v>
      </c>
      <c r="C19" s="59"/>
      <c r="D19" s="59"/>
      <c r="E19" s="59"/>
      <c r="F19" s="59"/>
      <c r="G19" s="59"/>
      <c r="H19" s="59"/>
      <c r="I19" s="59"/>
      <c r="J19" s="6"/>
    </row>
    <row r="20" spans="2:10" s="52" customFormat="1">
      <c r="B20" s="44" t="s">
        <v>14</v>
      </c>
      <c r="C20" s="61">
        <f t="shared" ref="C20:I20" si="2">SUM(C10:C12)</f>
        <v>3356198.125</v>
      </c>
      <c r="D20" s="61">
        <f t="shared" si="2"/>
        <v>3411178.3491817731</v>
      </c>
      <c r="E20" s="61">
        <f t="shared" si="2"/>
        <v>3480000</v>
      </c>
      <c r="F20" s="61">
        <f t="shared" si="2"/>
        <v>3583937.2666408601</v>
      </c>
      <c r="G20" s="61">
        <f t="shared" si="2"/>
        <v>3619776.6393072689</v>
      </c>
      <c r="H20" s="61">
        <f t="shared" si="2"/>
        <v>3655974.4057003413</v>
      </c>
      <c r="I20" s="61">
        <f t="shared" si="2"/>
        <v>3692534.1497573447</v>
      </c>
      <c r="J20" s="51"/>
    </row>
    <row r="21" spans="2:10" s="52" customFormat="1">
      <c r="B21" s="44" t="s">
        <v>15</v>
      </c>
      <c r="C21" s="61">
        <f t="shared" ref="C21:I21" si="3">C20-C22</f>
        <v>3356198.125</v>
      </c>
      <c r="D21" s="61">
        <f t="shared" si="3"/>
        <v>3411178.3491817731</v>
      </c>
      <c r="E21" s="61">
        <f t="shared" si="3"/>
        <v>3480000</v>
      </c>
      <c r="F21" s="61">
        <f t="shared" si="3"/>
        <v>3583937.2666408601</v>
      </c>
      <c r="G21" s="61">
        <f t="shared" si="3"/>
        <v>3619776.6393072689</v>
      </c>
      <c r="H21" s="61">
        <f t="shared" si="3"/>
        <v>3655974.4057003413</v>
      </c>
      <c r="I21" s="61">
        <f t="shared" si="3"/>
        <v>3692534.1497573447</v>
      </c>
      <c r="J21" s="51"/>
    </row>
    <row r="22" spans="2:10">
      <c r="B22" s="17" t="s">
        <v>16</v>
      </c>
      <c r="C22" s="57">
        <f t="shared" ref="C22:I22" si="4">C12</f>
        <v>0</v>
      </c>
      <c r="D22" s="57">
        <f t="shared" si="4"/>
        <v>0</v>
      </c>
      <c r="E22" s="57">
        <f t="shared" si="4"/>
        <v>0</v>
      </c>
      <c r="F22" s="57">
        <f t="shared" si="4"/>
        <v>0</v>
      </c>
      <c r="G22" s="57">
        <f t="shared" si="4"/>
        <v>0</v>
      </c>
      <c r="H22" s="57">
        <f t="shared" si="4"/>
        <v>0</v>
      </c>
      <c r="I22" s="57">
        <f t="shared" si="4"/>
        <v>0</v>
      </c>
      <c r="J22" s="6"/>
    </row>
    <row r="23" spans="2:10" ht="6.5" customHeight="1">
      <c r="B23" s="18"/>
      <c r="C23" s="56"/>
      <c r="D23" s="56"/>
      <c r="E23" s="56"/>
      <c r="F23" s="56"/>
      <c r="G23" s="56"/>
      <c r="H23" s="56"/>
      <c r="I23" s="56"/>
      <c r="J23" s="6"/>
    </row>
    <row r="24" spans="2:10" ht="6.5" customHeight="1">
      <c r="B24" s="19"/>
      <c r="C24" s="56"/>
      <c r="D24" s="56"/>
      <c r="E24" s="56"/>
      <c r="F24" s="56"/>
      <c r="G24" s="56"/>
      <c r="H24" s="56"/>
      <c r="I24" s="56"/>
      <c r="J24" s="6"/>
    </row>
    <row r="25" spans="2:10" ht="6.5" customHeight="1">
      <c r="B25" s="12"/>
      <c r="C25" s="56"/>
      <c r="D25" s="56"/>
      <c r="E25" s="56"/>
      <c r="F25" s="56"/>
      <c r="G25" s="56"/>
      <c r="H25" s="56"/>
      <c r="I25" s="56"/>
      <c r="J25" s="6"/>
    </row>
    <row r="26" spans="2:10" ht="6.5" customHeight="1">
      <c r="B26" s="20"/>
      <c r="C26" s="56"/>
      <c r="D26" s="56"/>
      <c r="E26" s="56"/>
      <c r="F26" s="56"/>
      <c r="G26" s="56"/>
      <c r="H26" s="56"/>
      <c r="I26" s="56"/>
      <c r="J26" s="6"/>
    </row>
    <row r="27" spans="2:10">
      <c r="B27" s="13" t="s">
        <v>17</v>
      </c>
      <c r="C27" s="57"/>
      <c r="D27" s="57"/>
      <c r="E27" s="57"/>
      <c r="F27" s="57"/>
      <c r="G27" s="57"/>
      <c r="H27" s="57"/>
      <c r="I27" s="57"/>
      <c r="J27" s="6"/>
    </row>
    <row r="28" spans="2:10">
      <c r="B28" s="14" t="s">
        <v>4</v>
      </c>
      <c r="C28" s="58">
        <v>5413125.6343925074</v>
      </c>
      <c r="D28" s="58">
        <v>5501801.8238838548</v>
      </c>
      <c r="E28" s="59">
        <v>5579210.0970181646</v>
      </c>
      <c r="F28" s="58">
        <v>5750000</v>
      </c>
      <c r="G28" s="58">
        <v>5807500</v>
      </c>
      <c r="H28" s="58">
        <v>5865575</v>
      </c>
      <c r="I28" s="58">
        <v>5924230.75</v>
      </c>
      <c r="J28" s="6"/>
    </row>
    <row r="29" spans="2:10">
      <c r="B29" s="14" t="s">
        <v>5</v>
      </c>
      <c r="C29" s="58">
        <v>1970509.5347883345</v>
      </c>
      <c r="D29" s="58">
        <v>2002789.8269343721</v>
      </c>
      <c r="E29" s="59">
        <v>2030968.3231646328</v>
      </c>
      <c r="F29" s="58">
        <v>2093140.0064030637</v>
      </c>
      <c r="G29" s="58">
        <v>2114071.4064670941</v>
      </c>
      <c r="H29" s="58">
        <v>2135212.1205317653</v>
      </c>
      <c r="I29" s="58">
        <v>2156564.2417370831</v>
      </c>
      <c r="J29" s="6"/>
    </row>
    <row r="30" spans="2:10">
      <c r="B30" s="14" t="s">
        <v>18</v>
      </c>
      <c r="C30" s="59"/>
      <c r="D30" s="59"/>
      <c r="E30" s="59"/>
      <c r="F30" s="59"/>
      <c r="G30" s="59"/>
      <c r="H30" s="59"/>
      <c r="I30" s="59"/>
      <c r="J30" s="6"/>
    </row>
    <row r="31" spans="2:10">
      <c r="B31" s="14" t="s">
        <v>19</v>
      </c>
      <c r="C31" s="59"/>
      <c r="D31" s="59"/>
      <c r="E31" s="59"/>
      <c r="F31" s="59"/>
      <c r="G31" s="59"/>
      <c r="H31" s="59"/>
      <c r="I31" s="59"/>
      <c r="J31" s="6"/>
    </row>
    <row r="32" spans="2:10">
      <c r="B32" s="14" t="s">
        <v>20</v>
      </c>
      <c r="C32" s="59"/>
      <c r="D32" s="59"/>
      <c r="E32" s="59"/>
      <c r="F32" s="59"/>
      <c r="G32" s="59"/>
      <c r="H32" s="59"/>
      <c r="I32" s="59"/>
      <c r="J32" s="6"/>
    </row>
    <row r="33" spans="2:10">
      <c r="B33" s="15" t="s">
        <v>21</v>
      </c>
      <c r="C33" s="57">
        <f t="shared" ref="C33:I33" si="5">SUM(C34:C40)</f>
        <v>0</v>
      </c>
      <c r="D33" s="57">
        <f t="shared" si="5"/>
        <v>0</v>
      </c>
      <c r="E33" s="57">
        <f t="shared" si="5"/>
        <v>0</v>
      </c>
      <c r="F33" s="57">
        <f t="shared" si="5"/>
        <v>0</v>
      </c>
      <c r="G33" s="57">
        <f t="shared" si="5"/>
        <v>0</v>
      </c>
      <c r="H33" s="57">
        <f t="shared" si="5"/>
        <v>0</v>
      </c>
      <c r="I33" s="57">
        <f t="shared" si="5"/>
        <v>0</v>
      </c>
      <c r="J33" s="6"/>
    </row>
    <row r="34" spans="2:10" hidden="1">
      <c r="B34" s="21" t="s">
        <v>22</v>
      </c>
      <c r="C34" s="59"/>
      <c r="D34" s="59"/>
      <c r="E34" s="59"/>
      <c r="F34" s="59"/>
      <c r="G34" s="59"/>
      <c r="H34" s="59"/>
      <c r="I34" s="59"/>
      <c r="J34" s="6"/>
    </row>
    <row r="35" spans="2:10" hidden="1">
      <c r="B35" s="21" t="s">
        <v>8</v>
      </c>
      <c r="C35" s="59"/>
      <c r="D35" s="59"/>
      <c r="E35" s="59"/>
      <c r="F35" s="59"/>
      <c r="G35" s="59"/>
      <c r="H35" s="59"/>
      <c r="I35" s="59"/>
      <c r="J35" s="6"/>
    </row>
    <row r="36" spans="2:10" hidden="1">
      <c r="B36" s="21" t="s">
        <v>9</v>
      </c>
      <c r="C36" s="59"/>
      <c r="D36" s="59"/>
      <c r="E36" s="59"/>
      <c r="F36" s="59"/>
      <c r="G36" s="59"/>
      <c r="H36" s="59"/>
      <c r="I36" s="59"/>
      <c r="J36" s="6"/>
    </row>
    <row r="37" spans="2:10" hidden="1">
      <c r="B37" s="21" t="s">
        <v>10</v>
      </c>
      <c r="C37" s="59"/>
      <c r="D37" s="59"/>
      <c r="E37" s="59"/>
      <c r="F37" s="59"/>
      <c r="G37" s="59"/>
      <c r="H37" s="59"/>
      <c r="I37" s="59"/>
      <c r="J37" s="6"/>
    </row>
    <row r="38" spans="2:10" hidden="1">
      <c r="B38" s="21" t="s">
        <v>11</v>
      </c>
      <c r="C38" s="59"/>
      <c r="D38" s="59"/>
      <c r="E38" s="59"/>
      <c r="F38" s="59"/>
      <c r="G38" s="59"/>
      <c r="H38" s="59"/>
      <c r="I38" s="59"/>
      <c r="J38" s="6"/>
    </row>
    <row r="39" spans="2:10" hidden="1">
      <c r="B39" s="21" t="s">
        <v>12</v>
      </c>
      <c r="C39" s="59"/>
      <c r="D39" s="59"/>
      <c r="E39" s="59"/>
      <c r="F39" s="59"/>
      <c r="G39" s="59"/>
      <c r="H39" s="59"/>
      <c r="I39" s="59"/>
      <c r="J39" s="6"/>
    </row>
    <row r="40" spans="2:10" hidden="1">
      <c r="B40" s="21" t="s">
        <v>13</v>
      </c>
      <c r="C40" s="59"/>
      <c r="D40" s="59"/>
      <c r="E40" s="59"/>
      <c r="F40" s="59"/>
      <c r="G40" s="59"/>
      <c r="H40" s="59"/>
      <c r="I40" s="59"/>
      <c r="J40" s="6"/>
    </row>
    <row r="41" spans="2:10" ht="6.5" customHeight="1">
      <c r="B41" s="21"/>
      <c r="C41" s="59"/>
      <c r="D41" s="59"/>
      <c r="E41" s="59"/>
      <c r="F41" s="59"/>
      <c r="G41" s="59"/>
      <c r="H41" s="59"/>
      <c r="I41" s="59"/>
      <c r="J41" s="6"/>
    </row>
    <row r="42" spans="2:10" s="52" customFormat="1">
      <c r="B42" s="44" t="s">
        <v>14</v>
      </c>
      <c r="C42" s="61">
        <f t="shared" ref="C42:I42" si="6">SUM(C28:C33)</f>
        <v>7383635.1691808421</v>
      </c>
      <c r="D42" s="61">
        <f t="shared" si="6"/>
        <v>7504591.6508182269</v>
      </c>
      <c r="E42" s="61">
        <f t="shared" si="6"/>
        <v>7610178.4201827971</v>
      </c>
      <c r="F42" s="61">
        <f t="shared" si="6"/>
        <v>7843140.0064030634</v>
      </c>
      <c r="G42" s="61">
        <f t="shared" si="6"/>
        <v>7921571.4064670941</v>
      </c>
      <c r="H42" s="61">
        <f t="shared" si="6"/>
        <v>8000787.1205317657</v>
      </c>
      <c r="I42" s="61">
        <f t="shared" si="6"/>
        <v>8080794.9917370826</v>
      </c>
      <c r="J42" s="51"/>
    </row>
    <row r="43" spans="2:10" s="52" customFormat="1">
      <c r="B43" s="44" t="s">
        <v>15</v>
      </c>
      <c r="C43" s="61">
        <f t="shared" ref="C43:I43" si="7">C42-C44</f>
        <v>7383635.1691808421</v>
      </c>
      <c r="D43" s="61">
        <f t="shared" si="7"/>
        <v>7504591.6508182269</v>
      </c>
      <c r="E43" s="61">
        <f t="shared" si="7"/>
        <v>7610178.4201827971</v>
      </c>
      <c r="F43" s="61">
        <f t="shared" si="7"/>
        <v>7843140.0064030634</v>
      </c>
      <c r="G43" s="61">
        <f t="shared" si="7"/>
        <v>7921571.4064670941</v>
      </c>
      <c r="H43" s="61">
        <f t="shared" si="7"/>
        <v>8000787.1205317657</v>
      </c>
      <c r="I43" s="61">
        <f t="shared" si="7"/>
        <v>8080794.9917370826</v>
      </c>
      <c r="J43" s="51"/>
    </row>
    <row r="44" spans="2:10">
      <c r="B44" s="17" t="s">
        <v>23</v>
      </c>
      <c r="C44" s="57">
        <f t="shared" ref="C44:I44" si="8">C33</f>
        <v>0</v>
      </c>
      <c r="D44" s="57">
        <f t="shared" si="8"/>
        <v>0</v>
      </c>
      <c r="E44" s="57">
        <f t="shared" si="8"/>
        <v>0</v>
      </c>
      <c r="F44" s="57">
        <f t="shared" si="8"/>
        <v>0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6"/>
    </row>
    <row r="45" spans="2:10" ht="5" customHeight="1">
      <c r="B45" s="22"/>
      <c r="C45" s="56"/>
      <c r="D45" s="56"/>
      <c r="E45" s="56"/>
      <c r="F45" s="56"/>
      <c r="G45" s="56"/>
      <c r="H45" s="56"/>
      <c r="I45" s="56"/>
      <c r="J45" s="6"/>
    </row>
    <row r="46" spans="2:10" ht="5" customHeight="1">
      <c r="B46" s="20"/>
      <c r="C46" s="56"/>
      <c r="D46" s="56"/>
      <c r="E46" s="56"/>
      <c r="F46" s="56"/>
      <c r="G46" s="56"/>
      <c r="H46" s="56"/>
      <c r="I46" s="56"/>
      <c r="J46" s="6"/>
    </row>
    <row r="47" spans="2:10">
      <c r="B47" s="13" t="s">
        <v>24</v>
      </c>
      <c r="C47" s="57"/>
      <c r="D47" s="57"/>
      <c r="E47" s="57"/>
      <c r="F47" s="57"/>
      <c r="G47" s="57"/>
      <c r="H47" s="57"/>
      <c r="I47" s="57"/>
      <c r="J47" s="6"/>
    </row>
    <row r="48" spans="2:10">
      <c r="B48" s="23" t="s">
        <v>25</v>
      </c>
      <c r="C48" s="57"/>
      <c r="D48" s="57"/>
      <c r="E48" s="57"/>
      <c r="F48" s="57"/>
      <c r="G48" s="57"/>
      <c r="H48" s="57"/>
      <c r="I48" s="57"/>
      <c r="J48" s="6"/>
    </row>
    <row r="49" spans="2:10">
      <c r="B49" s="14" t="s">
        <v>26</v>
      </c>
      <c r="C49" s="59"/>
      <c r="D49" s="59"/>
      <c r="E49" s="59"/>
      <c r="F49" s="59"/>
      <c r="G49" s="59"/>
      <c r="H49" s="59"/>
      <c r="I49" s="59"/>
      <c r="J49" s="6"/>
    </row>
    <row r="50" spans="2:10">
      <c r="B50" s="14" t="s">
        <v>27</v>
      </c>
      <c r="C50" s="59"/>
      <c r="D50" s="59"/>
      <c r="E50" s="59"/>
      <c r="F50" s="59"/>
      <c r="G50" s="59"/>
      <c r="H50" s="59"/>
      <c r="I50" s="59"/>
      <c r="J50" s="6"/>
    </row>
    <row r="51" spans="2:10">
      <c r="B51" s="14" t="s">
        <v>28</v>
      </c>
      <c r="C51" s="58">
        <v>11400</v>
      </c>
      <c r="D51" s="58">
        <v>9000</v>
      </c>
      <c r="E51" s="59">
        <v>9500</v>
      </c>
      <c r="F51" s="58">
        <v>9450</v>
      </c>
      <c r="G51" s="58">
        <v>9733.5</v>
      </c>
      <c r="H51" s="58">
        <v>10025.505000000001</v>
      </c>
      <c r="I51" s="59">
        <v>10326.270150000002</v>
      </c>
      <c r="J51" s="6"/>
    </row>
    <row r="52" spans="2:10">
      <c r="B52" s="24" t="s">
        <v>29</v>
      </c>
      <c r="C52" s="58"/>
      <c r="D52" s="58"/>
      <c r="E52" s="59"/>
      <c r="F52" s="58"/>
      <c r="G52" s="58"/>
      <c r="H52" s="58"/>
      <c r="I52" s="59"/>
      <c r="J52" s="6"/>
    </row>
    <row r="53" spans="2:10">
      <c r="B53" s="24" t="s">
        <v>30</v>
      </c>
      <c r="C53" s="58">
        <v>348651.39999999997</v>
      </c>
      <c r="D53" s="58">
        <v>278166</v>
      </c>
      <c r="E53" s="59">
        <v>285000</v>
      </c>
      <c r="F53" s="58">
        <v>292074.3</v>
      </c>
      <c r="G53" s="58">
        <v>300836.52899999998</v>
      </c>
      <c r="H53" s="58">
        <v>309861.62487</v>
      </c>
      <c r="I53" s="59">
        <v>319157.47361610003</v>
      </c>
      <c r="J53" s="6"/>
    </row>
    <row r="54" spans="2:10">
      <c r="B54" s="24" t="s">
        <v>31</v>
      </c>
      <c r="C54" s="58">
        <v>127636.45</v>
      </c>
      <c r="D54" s="58">
        <v>116125</v>
      </c>
      <c r="E54" s="59">
        <v>135000</v>
      </c>
      <c r="F54" s="58">
        <v>121931.25</v>
      </c>
      <c r="G54" s="58">
        <v>125589.1875</v>
      </c>
      <c r="H54" s="58">
        <v>129356.863125</v>
      </c>
      <c r="I54" s="59">
        <v>133237.56901875001</v>
      </c>
      <c r="J54" s="6"/>
    </row>
    <row r="55" spans="2:10">
      <c r="B55" s="24" t="s">
        <v>32</v>
      </c>
      <c r="C55" s="58">
        <v>76083.53</v>
      </c>
      <c r="D55" s="58">
        <v>24977</v>
      </c>
      <c r="E55" s="59">
        <v>25000</v>
      </c>
      <c r="F55" s="58">
        <v>26225.850000000002</v>
      </c>
      <c r="G55" s="58">
        <v>27012.625500000002</v>
      </c>
      <c r="H55" s="58">
        <v>27823.004265000003</v>
      </c>
      <c r="I55" s="59">
        <v>28657.694392950005</v>
      </c>
      <c r="J55" s="6"/>
    </row>
    <row r="56" spans="2:10">
      <c r="B56" s="24" t="s">
        <v>33</v>
      </c>
      <c r="C56" s="59"/>
      <c r="D56" s="59"/>
      <c r="E56" s="59"/>
      <c r="F56" s="59"/>
      <c r="G56" s="59"/>
      <c r="H56" s="59"/>
      <c r="I56" s="59"/>
      <c r="J56" s="6"/>
    </row>
    <row r="57" spans="2:10">
      <c r="B57" s="24" t="s">
        <v>34</v>
      </c>
      <c r="C57" s="59"/>
      <c r="D57" s="59"/>
      <c r="E57" s="59"/>
      <c r="F57" s="59"/>
      <c r="G57" s="59"/>
      <c r="H57" s="59"/>
      <c r="I57" s="59"/>
      <c r="J57" s="6"/>
    </row>
    <row r="58" spans="2:10" ht="81" customHeight="1" thickBot="1">
      <c r="B58" s="24"/>
      <c r="C58" s="59"/>
      <c r="D58" s="59"/>
      <c r="E58" s="59"/>
      <c r="F58" s="59"/>
      <c r="G58" s="59"/>
      <c r="H58" s="59"/>
      <c r="I58" s="59"/>
      <c r="J58" s="6"/>
    </row>
    <row r="59" spans="2:10" ht="40" customHeight="1">
      <c r="B59" s="90" t="s">
        <v>2</v>
      </c>
      <c r="C59" s="90"/>
      <c r="D59" s="90"/>
      <c r="E59" s="90"/>
      <c r="F59" s="90"/>
      <c r="G59" s="90"/>
      <c r="H59" s="90"/>
      <c r="I59" s="90"/>
      <c r="J59" s="6"/>
    </row>
    <row r="60" spans="2:10" s="55" customFormat="1" ht="31" hidden="1" customHeight="1">
      <c r="B60" s="11"/>
      <c r="C60" s="50" t="str">
        <f>"Réalisé "&amp;TEXT(E55-2*365,"aaaa")</f>
        <v>Réalisé 1966</v>
      </c>
      <c r="D60" s="50" t="str">
        <f>"Réalisé "&amp;TEXT(E55-365,"aaaa")</f>
        <v>Réalisé 1967</v>
      </c>
      <c r="E60" s="50" t="str">
        <f>"Estimation Réalisé "&amp;TEXT(E55,"aaaa")</f>
        <v>Estimation Réalisé 1968</v>
      </c>
      <c r="F60" s="50" t="str">
        <f>"Prévisionnel "&amp;TEXT(E55,"aaaa")</f>
        <v>Prévisionnel 1968</v>
      </c>
      <c r="G60" s="50" t="str">
        <f>"Prévisionnel "&amp;TEXT(E55+366,"aaaa")</f>
        <v>Prévisionnel 1969</v>
      </c>
      <c r="H60" s="50" t="str">
        <f>"Prévisionnel "&amp;TEXT(E55+2*366,"aaaa")</f>
        <v>Prévisionnel 1970</v>
      </c>
      <c r="I60" s="50" t="str">
        <f>"Prévisionnel "&amp;TEXT(E55+3*366,"aaaa")</f>
        <v>Prévisionnel 1971</v>
      </c>
      <c r="J60" s="54"/>
    </row>
    <row r="61" spans="2:10" hidden="1">
      <c r="B61" s="24"/>
      <c r="C61" s="59"/>
      <c r="D61" s="59"/>
      <c r="E61" s="59"/>
      <c r="F61" s="59"/>
      <c r="G61" s="59"/>
      <c r="H61" s="59"/>
      <c r="I61" s="59"/>
      <c r="J61" s="6"/>
    </row>
    <row r="62" spans="2:10">
      <c r="B62" s="25" t="s">
        <v>35</v>
      </c>
      <c r="C62" s="57"/>
      <c r="D62" s="57"/>
      <c r="E62" s="57"/>
      <c r="F62" s="57"/>
      <c r="G62" s="57"/>
      <c r="H62" s="57"/>
      <c r="I62" s="57"/>
      <c r="J62" s="6"/>
    </row>
    <row r="63" spans="2:10">
      <c r="B63" s="24" t="s">
        <v>36</v>
      </c>
      <c r="C63" s="59"/>
      <c r="D63" s="59"/>
      <c r="E63" s="59"/>
      <c r="F63" s="59"/>
      <c r="G63" s="59"/>
      <c r="H63" s="59"/>
      <c r="I63" s="59"/>
      <c r="J63" s="6"/>
    </row>
    <row r="64" spans="2:10">
      <c r="B64" s="24" t="s">
        <v>37</v>
      </c>
      <c r="C64" s="58">
        <v>98350.02</v>
      </c>
      <c r="D64" s="58">
        <v>76566</v>
      </c>
      <c r="E64" s="59">
        <v>76000</v>
      </c>
      <c r="F64" s="58">
        <v>80394.3</v>
      </c>
      <c r="G64" s="58">
        <v>82806.129000000001</v>
      </c>
      <c r="H64" s="58">
        <v>85290.312870000009</v>
      </c>
      <c r="I64" s="59">
        <v>87849.022256100012</v>
      </c>
      <c r="J64" s="6"/>
    </row>
    <row r="65" spans="2:10">
      <c r="B65" s="24" t="s">
        <v>38</v>
      </c>
      <c r="C65" s="58"/>
      <c r="D65" s="58"/>
      <c r="E65" s="59"/>
      <c r="F65" s="58"/>
      <c r="G65" s="58"/>
      <c r="H65" s="58"/>
      <c r="I65" s="59"/>
      <c r="J65" s="6"/>
    </row>
    <row r="66" spans="2:10">
      <c r="B66" s="24" t="s">
        <v>39</v>
      </c>
      <c r="C66" s="58">
        <v>972251.85</v>
      </c>
      <c r="D66" s="58">
        <v>1062018</v>
      </c>
      <c r="E66" s="59">
        <v>1174500</v>
      </c>
      <c r="F66" s="58">
        <v>1200000</v>
      </c>
      <c r="G66" s="58">
        <v>1236000</v>
      </c>
      <c r="H66" s="58">
        <v>1273080</v>
      </c>
      <c r="I66" s="59">
        <v>1311272.4000000001</v>
      </c>
      <c r="J66" s="6"/>
    </row>
    <row r="67" spans="2:10">
      <c r="B67" s="14" t="s">
        <v>40</v>
      </c>
      <c r="C67" s="58">
        <v>71312.81</v>
      </c>
      <c r="D67" s="58">
        <v>76215</v>
      </c>
      <c r="E67" s="59">
        <v>79500</v>
      </c>
      <c r="F67" s="58">
        <v>80025.75</v>
      </c>
      <c r="G67" s="58">
        <v>82426.522500000006</v>
      </c>
      <c r="H67" s="58">
        <v>84899.318175000008</v>
      </c>
      <c r="I67" s="59">
        <v>87446.297720250004</v>
      </c>
      <c r="J67" s="6"/>
    </row>
    <row r="68" spans="2:10">
      <c r="B68" s="26" t="s">
        <v>41</v>
      </c>
      <c r="C68" s="57">
        <f t="shared" ref="C68:H68" si="9">SUM(C69:C75)</f>
        <v>0</v>
      </c>
      <c r="D68" s="57">
        <f t="shared" si="9"/>
        <v>0</v>
      </c>
      <c r="E68" s="57">
        <f t="shared" si="9"/>
        <v>0</v>
      </c>
      <c r="F68" s="57">
        <f t="shared" si="9"/>
        <v>0</v>
      </c>
      <c r="G68" s="57">
        <f t="shared" si="9"/>
        <v>0</v>
      </c>
      <c r="H68" s="57">
        <f t="shared" si="9"/>
        <v>0</v>
      </c>
      <c r="I68" s="57">
        <v>0</v>
      </c>
      <c r="J68" s="6"/>
    </row>
    <row r="69" spans="2:10" ht="2" hidden="1" customHeight="1">
      <c r="B69" s="16" t="s">
        <v>42</v>
      </c>
      <c r="C69" s="59"/>
      <c r="D69" s="59"/>
      <c r="E69" s="59"/>
      <c r="F69" s="59"/>
      <c r="G69" s="59"/>
      <c r="H69" s="59"/>
      <c r="I69" s="59"/>
      <c r="J69" s="6"/>
    </row>
    <row r="70" spans="2:10" ht="2" hidden="1" customHeight="1">
      <c r="B70" s="16" t="s">
        <v>43</v>
      </c>
      <c r="C70" s="59"/>
      <c r="D70" s="59"/>
      <c r="E70" s="59"/>
      <c r="F70" s="59"/>
      <c r="G70" s="59"/>
      <c r="H70" s="59"/>
      <c r="I70" s="59"/>
      <c r="J70" s="6"/>
    </row>
    <row r="71" spans="2:10" ht="2" hidden="1" customHeight="1">
      <c r="B71" s="16" t="s">
        <v>44</v>
      </c>
      <c r="C71" s="59"/>
      <c r="D71" s="59"/>
      <c r="E71" s="59"/>
      <c r="F71" s="59"/>
      <c r="G71" s="59"/>
      <c r="H71" s="59"/>
      <c r="I71" s="59"/>
      <c r="J71" s="6"/>
    </row>
    <row r="72" spans="2:10" ht="2" hidden="1" customHeight="1">
      <c r="B72" s="16" t="s">
        <v>45</v>
      </c>
      <c r="C72" s="59"/>
      <c r="D72" s="59"/>
      <c r="E72" s="59"/>
      <c r="F72" s="59"/>
      <c r="G72" s="59"/>
      <c r="H72" s="59"/>
      <c r="I72" s="59"/>
      <c r="J72" s="6"/>
    </row>
    <row r="73" spans="2:10" ht="2" hidden="1" customHeight="1">
      <c r="B73" s="16" t="s">
        <v>46</v>
      </c>
      <c r="C73" s="59"/>
      <c r="D73" s="59"/>
      <c r="E73" s="59"/>
      <c r="F73" s="59"/>
      <c r="G73" s="59"/>
      <c r="H73" s="59"/>
      <c r="I73" s="59"/>
      <c r="J73" s="6"/>
    </row>
    <row r="74" spans="2:10" ht="2" hidden="1" customHeight="1">
      <c r="B74" s="16" t="s">
        <v>47</v>
      </c>
      <c r="C74" s="59"/>
      <c r="D74" s="59"/>
      <c r="E74" s="59"/>
      <c r="F74" s="59"/>
      <c r="G74" s="59"/>
      <c r="H74" s="59"/>
      <c r="I74" s="59"/>
      <c r="J74" s="6"/>
    </row>
    <row r="75" spans="2:10" ht="2" hidden="1" customHeight="1">
      <c r="B75" s="16" t="s">
        <v>48</v>
      </c>
      <c r="C75" s="59"/>
      <c r="D75" s="59"/>
      <c r="E75" s="59"/>
      <c r="F75" s="59"/>
      <c r="G75" s="59"/>
      <c r="H75" s="59"/>
      <c r="I75" s="59"/>
      <c r="J75" s="6"/>
    </row>
    <row r="76" spans="2:10">
      <c r="B76" s="14" t="s">
        <v>49</v>
      </c>
      <c r="C76" s="59"/>
      <c r="D76" s="59"/>
      <c r="E76" s="59"/>
      <c r="F76" s="59"/>
      <c r="G76" s="59"/>
      <c r="H76" s="59"/>
      <c r="I76" s="59"/>
      <c r="J76" s="6"/>
    </row>
    <row r="77" spans="2:10">
      <c r="B77" s="14" t="s">
        <v>50</v>
      </c>
      <c r="C77" s="58">
        <v>86805.34</v>
      </c>
      <c r="D77" s="58">
        <v>16180</v>
      </c>
      <c r="E77" s="59">
        <v>35000</v>
      </c>
      <c r="F77" s="58">
        <v>35000</v>
      </c>
      <c r="G77" s="58">
        <v>36050</v>
      </c>
      <c r="H77" s="58">
        <v>37131.5</v>
      </c>
      <c r="I77" s="59">
        <v>38245.445</v>
      </c>
      <c r="J77" s="6"/>
    </row>
    <row r="78" spans="2:10">
      <c r="B78" s="14" t="s">
        <v>51</v>
      </c>
      <c r="C78" s="58">
        <v>76023.01999999999</v>
      </c>
      <c r="D78" s="58">
        <v>64685</v>
      </c>
      <c r="E78" s="59">
        <v>62000</v>
      </c>
      <c r="F78" s="58">
        <v>65125</v>
      </c>
      <c r="G78" s="58">
        <v>67078.75</v>
      </c>
      <c r="H78" s="58">
        <v>69091.112500000003</v>
      </c>
      <c r="I78" s="59">
        <v>71163.845874999999</v>
      </c>
      <c r="J78" s="6"/>
    </row>
    <row r="79" spans="2:10">
      <c r="B79" s="14" t="s">
        <v>52</v>
      </c>
      <c r="C79" s="58">
        <v>34326.93</v>
      </c>
      <c r="D79" s="58">
        <v>29728</v>
      </c>
      <c r="E79" s="59">
        <v>28500</v>
      </c>
      <c r="F79" s="58">
        <v>30152</v>
      </c>
      <c r="G79" s="58">
        <v>31056.560000000001</v>
      </c>
      <c r="H79" s="58">
        <v>31988.256800000003</v>
      </c>
      <c r="I79" s="59">
        <v>32947.904504000006</v>
      </c>
      <c r="J79" s="6"/>
    </row>
    <row r="80" spans="2:10">
      <c r="B80" s="14" t="s">
        <v>53</v>
      </c>
      <c r="C80" s="58">
        <v>63595.47</v>
      </c>
      <c r="D80" s="58">
        <v>67222</v>
      </c>
      <c r="E80" s="59">
        <v>75000</v>
      </c>
      <c r="F80" s="58">
        <v>72548</v>
      </c>
      <c r="G80" s="58">
        <v>74724.44</v>
      </c>
      <c r="H80" s="58">
        <v>76966.173200000005</v>
      </c>
      <c r="I80" s="59">
        <v>79275.158396000013</v>
      </c>
      <c r="J80" s="6"/>
    </row>
    <row r="81" spans="2:10">
      <c r="B81" s="14" t="s">
        <v>54</v>
      </c>
      <c r="C81" s="58">
        <v>98457</v>
      </c>
      <c r="D81" s="58">
        <v>169816</v>
      </c>
      <c r="E81" s="59">
        <v>188000</v>
      </c>
      <c r="F81" s="58">
        <v>195000</v>
      </c>
      <c r="G81" s="58">
        <v>200850</v>
      </c>
      <c r="H81" s="58">
        <v>206875.5</v>
      </c>
      <c r="I81" s="59">
        <v>213081.76500000001</v>
      </c>
      <c r="J81" s="6"/>
    </row>
    <row r="82" spans="2:10">
      <c r="B82" s="14" t="s">
        <v>55</v>
      </c>
      <c r="C82" s="58">
        <v>1500</v>
      </c>
      <c r="D82" s="58">
        <v>1375</v>
      </c>
      <c r="E82" s="59">
        <v>0</v>
      </c>
      <c r="F82" s="58">
        <v>1500</v>
      </c>
      <c r="G82" s="58">
        <v>1545</v>
      </c>
      <c r="H82" s="58">
        <v>1591.3500000000001</v>
      </c>
      <c r="I82" s="59">
        <v>1639.0905000000002</v>
      </c>
      <c r="J82" s="6"/>
    </row>
    <row r="83" spans="2:10">
      <c r="B83" s="14" t="s">
        <v>56</v>
      </c>
      <c r="C83" s="58">
        <v>181682</v>
      </c>
      <c r="D83" s="58">
        <v>134096</v>
      </c>
      <c r="E83" s="59">
        <v>145000</v>
      </c>
      <c r="F83" s="58">
        <v>135000</v>
      </c>
      <c r="G83" s="58">
        <v>139050</v>
      </c>
      <c r="H83" s="58">
        <v>143221.5</v>
      </c>
      <c r="I83" s="59">
        <v>147518.14499999999</v>
      </c>
      <c r="J83" s="6"/>
    </row>
    <row r="84" spans="2:10">
      <c r="B84" s="14" t="s">
        <v>57</v>
      </c>
      <c r="C84" s="58">
        <v>197021</v>
      </c>
      <c r="D84" s="58">
        <v>212592</v>
      </c>
      <c r="E84" s="59">
        <v>217400</v>
      </c>
      <c r="F84" s="58">
        <v>225000</v>
      </c>
      <c r="G84" s="58">
        <v>231750</v>
      </c>
      <c r="H84" s="58">
        <v>238702.5</v>
      </c>
      <c r="I84" s="59">
        <v>245863.57500000001</v>
      </c>
      <c r="J84" s="6"/>
    </row>
    <row r="85" spans="2:10">
      <c r="B85" s="26" t="s">
        <v>58</v>
      </c>
      <c r="C85" s="57">
        <f t="shared" ref="C85:H85" si="10">SUM(C86:C88)</f>
        <v>0</v>
      </c>
      <c r="D85" s="57">
        <f t="shared" si="10"/>
        <v>0</v>
      </c>
      <c r="E85" s="57">
        <f t="shared" si="10"/>
        <v>0</v>
      </c>
      <c r="F85" s="57">
        <f t="shared" si="10"/>
        <v>0</v>
      </c>
      <c r="G85" s="57">
        <f t="shared" si="10"/>
        <v>0</v>
      </c>
      <c r="H85" s="57">
        <f t="shared" si="10"/>
        <v>0</v>
      </c>
      <c r="I85" s="57">
        <v>0</v>
      </c>
      <c r="J85" s="6"/>
    </row>
    <row r="86" spans="2:10" hidden="1">
      <c r="B86" s="27" t="s">
        <v>59</v>
      </c>
      <c r="C86" s="59"/>
      <c r="D86" s="59"/>
      <c r="E86" s="59"/>
      <c r="F86" s="59"/>
      <c r="G86" s="59"/>
      <c r="H86" s="59"/>
      <c r="I86" s="59"/>
      <c r="J86" s="6"/>
    </row>
    <row r="87" spans="2:10" hidden="1">
      <c r="B87" s="27" t="s">
        <v>59</v>
      </c>
      <c r="C87" s="59"/>
      <c r="D87" s="59"/>
      <c r="E87" s="59"/>
      <c r="F87" s="59"/>
      <c r="G87" s="59"/>
      <c r="H87" s="59"/>
      <c r="I87" s="59"/>
      <c r="J87" s="6"/>
    </row>
    <row r="88" spans="2:10" hidden="1">
      <c r="B88" s="27" t="s">
        <v>59</v>
      </c>
      <c r="C88" s="59"/>
      <c r="D88" s="59"/>
      <c r="E88" s="59"/>
      <c r="F88" s="59"/>
      <c r="G88" s="59"/>
      <c r="H88" s="59"/>
      <c r="I88" s="59"/>
      <c r="J88" s="6"/>
    </row>
    <row r="89" spans="2:10">
      <c r="B89" s="14" t="s">
        <v>60</v>
      </c>
      <c r="C89" s="59"/>
      <c r="D89" s="59"/>
      <c r="E89" s="59"/>
      <c r="F89" s="59"/>
      <c r="G89" s="59"/>
      <c r="H89" s="59"/>
      <c r="I89" s="59"/>
      <c r="J89" s="6"/>
    </row>
    <row r="90" spans="2:10">
      <c r="B90" s="14" t="s">
        <v>61</v>
      </c>
      <c r="C90" s="59"/>
      <c r="D90" s="59"/>
      <c r="E90" s="59"/>
      <c r="F90" s="59"/>
      <c r="G90" s="59"/>
      <c r="H90" s="59"/>
      <c r="I90" s="59"/>
      <c r="J90" s="6"/>
    </row>
    <row r="91" spans="2:10">
      <c r="B91" s="14" t="s">
        <v>62</v>
      </c>
      <c r="C91" s="58">
        <v>20311</v>
      </c>
      <c r="D91" s="58">
        <v>9800</v>
      </c>
      <c r="E91" s="59">
        <v>10000</v>
      </c>
      <c r="F91" s="58">
        <v>10000</v>
      </c>
      <c r="G91" s="58">
        <v>10300</v>
      </c>
      <c r="H91" s="58">
        <v>10609</v>
      </c>
      <c r="I91" s="59">
        <v>10927.27</v>
      </c>
      <c r="J91" s="6"/>
    </row>
    <row r="92" spans="2:10">
      <c r="B92" s="14" t="s">
        <v>63</v>
      </c>
      <c r="C92" s="58">
        <v>278728</v>
      </c>
      <c r="D92" s="58">
        <v>142605</v>
      </c>
      <c r="E92" s="59">
        <v>139000</v>
      </c>
      <c r="F92" s="58">
        <v>150000</v>
      </c>
      <c r="G92" s="58">
        <v>154500</v>
      </c>
      <c r="H92" s="58">
        <v>159135</v>
      </c>
      <c r="I92" s="59">
        <v>163909.05000000002</v>
      </c>
      <c r="J92" s="6"/>
    </row>
    <row r="93" spans="2:10">
      <c r="B93" s="14" t="s">
        <v>64</v>
      </c>
      <c r="C93" s="58">
        <v>59</v>
      </c>
      <c r="D93" s="58"/>
      <c r="E93" s="59"/>
      <c r="F93" s="58"/>
      <c r="G93" s="58"/>
      <c r="H93" s="58"/>
      <c r="I93" s="59"/>
      <c r="J93" s="6"/>
    </row>
    <row r="94" spans="2:10">
      <c r="B94" s="14" t="s">
        <v>65</v>
      </c>
      <c r="C94" s="58">
        <v>112770</v>
      </c>
      <c r="D94" s="58"/>
      <c r="E94" s="59"/>
      <c r="F94" s="58"/>
      <c r="G94" s="58"/>
      <c r="H94" s="58"/>
      <c r="I94" s="59"/>
      <c r="J94" s="6"/>
    </row>
    <row r="95" spans="2:10">
      <c r="B95" s="14" t="s">
        <v>66</v>
      </c>
      <c r="C95" s="58"/>
      <c r="D95" s="58"/>
      <c r="E95" s="59"/>
      <c r="F95" s="58"/>
      <c r="G95" s="58"/>
      <c r="H95" s="58"/>
      <c r="I95" s="59"/>
      <c r="J95" s="6"/>
    </row>
    <row r="96" spans="2:10">
      <c r="B96" s="23" t="s">
        <v>67</v>
      </c>
      <c r="C96" s="62"/>
      <c r="D96" s="58"/>
      <c r="E96" s="57"/>
      <c r="F96" s="58"/>
      <c r="G96" s="58"/>
      <c r="H96" s="58"/>
      <c r="I96" s="57"/>
      <c r="J96" s="6"/>
    </row>
    <row r="97" spans="2:10">
      <c r="B97" s="14" t="s">
        <v>68</v>
      </c>
      <c r="C97" s="58">
        <v>710356</v>
      </c>
      <c r="D97" s="58">
        <v>700000</v>
      </c>
      <c r="E97" s="59">
        <v>700000</v>
      </c>
      <c r="F97" s="58">
        <v>700000</v>
      </c>
      <c r="G97" s="58">
        <v>700000</v>
      </c>
      <c r="H97" s="58">
        <v>700000</v>
      </c>
      <c r="I97" s="59">
        <f>+H97</f>
        <v>700000</v>
      </c>
      <c r="J97" s="6"/>
    </row>
    <row r="98" spans="2:10" hidden="1">
      <c r="B98" s="14" t="s">
        <v>69</v>
      </c>
      <c r="C98" s="59"/>
      <c r="D98" s="59"/>
      <c r="E98" s="59"/>
      <c r="F98" s="59"/>
      <c r="G98" s="59"/>
      <c r="H98" s="59"/>
      <c r="I98" s="59"/>
      <c r="J98" s="6"/>
    </row>
    <row r="99" spans="2:10" hidden="1">
      <c r="B99" s="14" t="s">
        <v>70</v>
      </c>
      <c r="C99" s="59"/>
      <c r="D99" s="59"/>
      <c r="E99" s="59"/>
      <c r="F99" s="59"/>
      <c r="G99" s="59"/>
      <c r="H99" s="59"/>
      <c r="I99" s="59"/>
      <c r="J99" s="6"/>
    </row>
    <row r="100" spans="2:10" hidden="1">
      <c r="B100" s="28" t="s">
        <v>71</v>
      </c>
      <c r="C100" s="59"/>
      <c r="D100" s="59"/>
      <c r="E100" s="59"/>
      <c r="F100" s="59"/>
      <c r="G100" s="59"/>
      <c r="H100" s="59"/>
      <c r="I100" s="59"/>
      <c r="J100" s="6"/>
    </row>
    <row r="101" spans="2:10" hidden="1">
      <c r="B101" s="20"/>
      <c r="C101" s="59"/>
      <c r="D101" s="59"/>
      <c r="E101" s="59"/>
      <c r="F101" s="59"/>
      <c r="G101" s="59"/>
      <c r="H101" s="59"/>
      <c r="I101" s="59"/>
      <c r="J101" s="6"/>
    </row>
    <row r="102" spans="2:10" s="52" customFormat="1">
      <c r="B102" s="44" t="s">
        <v>14</v>
      </c>
      <c r="C102" s="61">
        <f t="shared" ref="C102:I102" si="11">SUM(C48:C68)+SUM(C76:C85)+SUM(C89:C100)</f>
        <v>3567320.8200000003</v>
      </c>
      <c r="D102" s="61">
        <f>SUM(D48:D68)+SUM(D76:D85)+SUM(D89:D100)</f>
        <v>3191166</v>
      </c>
      <c r="E102" s="61">
        <f t="shared" si="11"/>
        <v>3384400</v>
      </c>
      <c r="F102" s="61">
        <f t="shared" si="11"/>
        <v>3429426.45</v>
      </c>
      <c r="G102" s="61">
        <f t="shared" si="11"/>
        <v>3511309.2434999999</v>
      </c>
      <c r="H102" s="61">
        <f t="shared" si="11"/>
        <v>3595648.5208050003</v>
      </c>
      <c r="I102" s="61">
        <f t="shared" si="11"/>
        <v>3682517.9764291504</v>
      </c>
      <c r="J102" s="51"/>
    </row>
    <row r="103" spans="2:10" s="52" customFormat="1" ht="14" thickBot="1">
      <c r="B103" s="30" t="s">
        <v>15</v>
      </c>
      <c r="C103" s="61">
        <f t="shared" ref="C103:I103" si="12">C102-C104</f>
        <v>3567320.8200000003</v>
      </c>
      <c r="D103" s="61">
        <f t="shared" si="12"/>
        <v>3191166</v>
      </c>
      <c r="E103" s="61">
        <f t="shared" si="12"/>
        <v>3384400</v>
      </c>
      <c r="F103" s="61">
        <f t="shared" si="12"/>
        <v>3429426.45</v>
      </c>
      <c r="G103" s="61">
        <f t="shared" si="12"/>
        <v>3511309.2434999999</v>
      </c>
      <c r="H103" s="61">
        <f t="shared" si="12"/>
        <v>3595648.5208050003</v>
      </c>
      <c r="I103" s="61">
        <f t="shared" si="12"/>
        <v>3682517.9764291504</v>
      </c>
      <c r="J103" s="51"/>
    </row>
    <row r="104" spans="2:10">
      <c r="B104" s="29" t="s">
        <v>23</v>
      </c>
      <c r="C104" s="57">
        <f>C85+C68</f>
        <v>0</v>
      </c>
      <c r="D104" s="57">
        <f t="shared" ref="D104:I104" si="13">D85+D68+D65</f>
        <v>0</v>
      </c>
      <c r="E104" s="57">
        <f t="shared" si="13"/>
        <v>0</v>
      </c>
      <c r="F104" s="57">
        <f t="shared" si="13"/>
        <v>0</v>
      </c>
      <c r="G104" s="57">
        <f t="shared" si="13"/>
        <v>0</v>
      </c>
      <c r="H104" s="57">
        <f t="shared" si="13"/>
        <v>0</v>
      </c>
      <c r="I104" s="57">
        <f t="shared" si="13"/>
        <v>0</v>
      </c>
      <c r="J104" s="6"/>
    </row>
    <row r="105" spans="2:10">
      <c r="B105" s="30" t="s">
        <v>72</v>
      </c>
      <c r="C105" s="61">
        <f t="shared" ref="C105:I105" si="14">C20+C42+C102</f>
        <v>14307154.114180842</v>
      </c>
      <c r="D105" s="61">
        <f t="shared" si="14"/>
        <v>14106936</v>
      </c>
      <c r="E105" s="61">
        <f t="shared" si="14"/>
        <v>14474578.420182798</v>
      </c>
      <c r="F105" s="61">
        <f t="shared" si="14"/>
        <v>14856503.723043922</v>
      </c>
      <c r="G105" s="61">
        <f t="shared" si="14"/>
        <v>15052657.289274363</v>
      </c>
      <c r="H105" s="61">
        <f t="shared" si="14"/>
        <v>15252410.047037106</v>
      </c>
      <c r="I105" s="61">
        <f t="shared" si="14"/>
        <v>15455847.117923576</v>
      </c>
      <c r="J105" s="6"/>
    </row>
    <row r="106" spans="2:10">
      <c r="B106" s="31" t="s">
        <v>73</v>
      </c>
      <c r="C106" s="61">
        <f t="shared" ref="C106:I106" si="15">C105-C107</f>
        <v>14307154.114180842</v>
      </c>
      <c r="D106" s="61">
        <f t="shared" si="15"/>
        <v>14106936</v>
      </c>
      <c r="E106" s="61">
        <f t="shared" si="15"/>
        <v>14474578.420182798</v>
      </c>
      <c r="F106" s="61">
        <f t="shared" si="15"/>
        <v>14856503.723043922</v>
      </c>
      <c r="G106" s="61">
        <f t="shared" si="15"/>
        <v>15052657.289274363</v>
      </c>
      <c r="H106" s="61">
        <f t="shared" si="15"/>
        <v>15252410.047037106</v>
      </c>
      <c r="I106" s="61">
        <f t="shared" si="15"/>
        <v>15455847.117923576</v>
      </c>
      <c r="J106" s="6"/>
    </row>
    <row r="107" spans="2:10">
      <c r="B107" s="32" t="s">
        <v>74</v>
      </c>
      <c r="C107" s="61">
        <f t="shared" ref="C107:I107" si="16">C22+C44+C104</f>
        <v>0</v>
      </c>
      <c r="D107" s="61">
        <f t="shared" si="16"/>
        <v>0</v>
      </c>
      <c r="E107" s="61">
        <f t="shared" si="16"/>
        <v>0</v>
      </c>
      <c r="F107" s="61">
        <f t="shared" si="16"/>
        <v>0</v>
      </c>
      <c r="G107" s="61">
        <f t="shared" si="16"/>
        <v>0</v>
      </c>
      <c r="H107" s="61">
        <f t="shared" si="16"/>
        <v>0</v>
      </c>
      <c r="I107" s="61">
        <f t="shared" si="16"/>
        <v>0</v>
      </c>
      <c r="J107" s="6"/>
    </row>
    <row r="108" spans="2:10">
      <c r="B108" s="33" t="s">
        <v>75</v>
      </c>
      <c r="C108" s="63">
        <f t="shared" ref="C108:I108" si="17">C20+C42+C102</f>
        <v>14307154.114180842</v>
      </c>
      <c r="D108" s="63">
        <f t="shared" si="17"/>
        <v>14106936</v>
      </c>
      <c r="E108" s="63">
        <f t="shared" si="17"/>
        <v>14474578.420182798</v>
      </c>
      <c r="F108" s="63">
        <f t="shared" si="17"/>
        <v>14856503.723043922</v>
      </c>
      <c r="G108" s="63">
        <f t="shared" si="17"/>
        <v>15052657.289274363</v>
      </c>
      <c r="H108" s="63">
        <f t="shared" si="17"/>
        <v>15252410.047037106</v>
      </c>
      <c r="I108" s="63">
        <f t="shared" si="17"/>
        <v>15455847.117923576</v>
      </c>
      <c r="J108" s="6"/>
    </row>
    <row r="109" spans="2:10" ht="71.5" customHeight="1">
      <c r="B109" s="72"/>
      <c r="C109" s="73"/>
      <c r="D109" s="73"/>
      <c r="E109" s="73"/>
      <c r="F109" s="73"/>
      <c r="G109" s="73"/>
      <c r="H109" s="73"/>
      <c r="I109" s="73"/>
      <c r="J109" s="6"/>
    </row>
    <row r="110" spans="2:10" ht="95" customHeight="1" thickBot="1">
      <c r="B110" s="34"/>
      <c r="C110" s="6"/>
      <c r="D110" s="6"/>
      <c r="E110" s="6"/>
      <c r="F110" s="6"/>
      <c r="G110" s="6"/>
      <c r="H110" s="6"/>
      <c r="I110" s="6"/>
      <c r="J110" s="6"/>
    </row>
    <row r="111" spans="2:10" ht="23.5" customHeight="1">
      <c r="B111" s="90" t="s">
        <v>76</v>
      </c>
      <c r="C111" s="90"/>
      <c r="D111" s="90"/>
      <c r="E111" s="90"/>
      <c r="F111" s="90"/>
      <c r="G111" s="90"/>
      <c r="H111" s="90"/>
      <c r="I111" s="90"/>
      <c r="J111" s="6"/>
    </row>
    <row r="112" spans="2:10" ht="26" customHeight="1">
      <c r="B112" s="35"/>
      <c r="C112" s="8" t="str">
        <f>"Réalisé "&amp;TEXT(E2-2*365,"aaaa")</f>
        <v>Réalisé 2015</v>
      </c>
      <c r="D112" s="8" t="str">
        <f>"Réalisé "&amp;TEXT(E2-365,"aaaa")</f>
        <v>Réalisé 2016</v>
      </c>
      <c r="E112" s="50" t="str">
        <f>"Estimation Réalisé "&amp;TEXT(E2,"aaaa")</f>
        <v>Estimation Réalisé 2017</v>
      </c>
      <c r="F112" s="8" t="str">
        <f>"Prévisionnel "&amp;TEXT(E2,"aaaa")</f>
        <v>Prévisionnel 2017</v>
      </c>
      <c r="G112" s="8" t="str">
        <f>"Prévisionnel "&amp;TEXT(E2+366,"aaaa")</f>
        <v>Prévisionnel 2018</v>
      </c>
      <c r="H112" s="8" t="str">
        <f>"Prévisionnel "&amp;TEXT(E2+2*366,"aaaa")</f>
        <v>Prévisionnel 2019</v>
      </c>
      <c r="I112" s="8" t="str">
        <f>"Prévisionnel "&amp;TEXT(E2+3*366,"aaaa")</f>
        <v>Prévisionnel 2020</v>
      </c>
      <c r="J112" s="6"/>
    </row>
    <row r="113" spans="2:10" ht="2.5" customHeight="1">
      <c r="B113" s="36"/>
      <c r="C113" s="64"/>
      <c r="D113" s="64"/>
      <c r="E113" s="64"/>
      <c r="F113" s="64"/>
      <c r="G113" s="64"/>
      <c r="H113" s="64"/>
      <c r="I113" s="64"/>
      <c r="J113" s="6"/>
    </row>
    <row r="114" spans="2:10">
      <c r="B114" s="37" t="s">
        <v>77</v>
      </c>
      <c r="C114" s="58">
        <v>97631</v>
      </c>
      <c r="D114" s="65">
        <v>100000</v>
      </c>
      <c r="E114" s="59">
        <v>100000</v>
      </c>
      <c r="F114" s="65">
        <v>100000</v>
      </c>
      <c r="G114" s="65">
        <v>120000</v>
      </c>
      <c r="H114" s="65">
        <v>150000</v>
      </c>
      <c r="I114" s="59">
        <v>180000</v>
      </c>
      <c r="J114" s="6"/>
    </row>
    <row r="115" spans="2:10">
      <c r="B115" s="38" t="s">
        <v>78</v>
      </c>
      <c r="C115" s="58">
        <v>269193</v>
      </c>
      <c r="D115" s="65">
        <v>230000</v>
      </c>
      <c r="E115" s="59">
        <v>290000</v>
      </c>
      <c r="F115" s="65">
        <v>290000</v>
      </c>
      <c r="G115" s="65">
        <v>300000</v>
      </c>
      <c r="H115" s="65">
        <v>325000</v>
      </c>
      <c r="I115" s="59">
        <v>335000</v>
      </c>
      <c r="J115" s="6"/>
    </row>
    <row r="116" spans="2:10">
      <c r="B116" s="38" t="s">
        <v>79</v>
      </c>
      <c r="C116" s="58"/>
      <c r="D116" s="65"/>
      <c r="E116" s="59"/>
      <c r="F116" s="65"/>
      <c r="G116" s="65">
        <v>0</v>
      </c>
      <c r="H116" s="65">
        <v>0</v>
      </c>
      <c r="I116" s="59">
        <v>0</v>
      </c>
      <c r="J116" s="6"/>
    </row>
    <row r="117" spans="2:10">
      <c r="B117" s="38" t="s">
        <v>80</v>
      </c>
      <c r="C117" s="58"/>
      <c r="D117" s="65"/>
      <c r="E117" s="59"/>
      <c r="F117" s="65"/>
      <c r="G117" s="65">
        <v>0</v>
      </c>
      <c r="H117" s="65">
        <v>0</v>
      </c>
      <c r="I117" s="59">
        <v>0</v>
      </c>
      <c r="J117" s="6"/>
    </row>
    <row r="118" spans="2:10">
      <c r="B118" s="38" t="s">
        <v>81</v>
      </c>
      <c r="C118" s="58">
        <f>35608+209454</f>
        <v>245062</v>
      </c>
      <c r="D118" s="65">
        <v>270000</v>
      </c>
      <c r="E118" s="59">
        <v>276000</v>
      </c>
      <c r="F118" s="65">
        <v>276000</v>
      </c>
      <c r="G118" s="65">
        <v>276000</v>
      </c>
      <c r="H118" s="65">
        <v>276000</v>
      </c>
      <c r="I118" s="59">
        <v>276000</v>
      </c>
      <c r="J118" s="6"/>
    </row>
    <row r="119" spans="2:10">
      <c r="B119" s="39" t="s">
        <v>82</v>
      </c>
      <c r="C119" s="59"/>
      <c r="D119" s="59"/>
      <c r="E119" s="59"/>
      <c r="F119" s="59"/>
      <c r="G119" s="59"/>
      <c r="H119" s="59"/>
      <c r="I119" s="59">
        <v>0</v>
      </c>
      <c r="J119" s="6"/>
    </row>
    <row r="120" spans="2:10" s="52" customFormat="1">
      <c r="B120" s="44" t="s">
        <v>83</v>
      </c>
      <c r="C120" s="61">
        <f t="shared" ref="C120:I120" si="18">SUM(C113:C119)</f>
        <v>611886</v>
      </c>
      <c r="D120" s="61">
        <f t="shared" si="18"/>
        <v>600000</v>
      </c>
      <c r="E120" s="61">
        <f t="shared" si="18"/>
        <v>666000</v>
      </c>
      <c r="F120" s="61">
        <f t="shared" si="18"/>
        <v>666000</v>
      </c>
      <c r="G120" s="61">
        <f t="shared" si="18"/>
        <v>696000</v>
      </c>
      <c r="H120" s="61">
        <f t="shared" si="18"/>
        <v>751000</v>
      </c>
      <c r="I120" s="61">
        <f t="shared" si="18"/>
        <v>791000</v>
      </c>
      <c r="J120" s="51"/>
    </row>
    <row r="121" spans="2:10" ht="4.5" customHeight="1">
      <c r="B121" s="14"/>
      <c r="C121" s="56"/>
      <c r="D121" s="56"/>
      <c r="E121" s="56"/>
      <c r="F121" s="56"/>
      <c r="G121" s="56"/>
      <c r="H121" s="56"/>
      <c r="I121" s="56"/>
      <c r="J121" s="6"/>
    </row>
    <row r="122" spans="2:10" s="52" customFormat="1">
      <c r="B122" s="40" t="s">
        <v>84</v>
      </c>
      <c r="C122" s="61">
        <f t="shared" ref="C122:I122" si="19">SUM(C123:C134)</f>
        <v>13116448</v>
      </c>
      <c r="D122" s="61">
        <f t="shared" si="19"/>
        <v>13154330</v>
      </c>
      <c r="E122" s="61">
        <f t="shared" si="19"/>
        <v>13250000</v>
      </c>
      <c r="F122" s="61">
        <f t="shared" si="19"/>
        <v>13125019</v>
      </c>
      <c r="G122" s="61">
        <f t="shared" si="19"/>
        <v>13215000</v>
      </c>
      <c r="H122" s="61">
        <f t="shared" si="19"/>
        <v>13515000</v>
      </c>
      <c r="I122" s="61">
        <f t="shared" si="19"/>
        <v>13715000</v>
      </c>
      <c r="J122" s="51"/>
    </row>
    <row r="123" spans="2:10">
      <c r="B123" s="20" t="s">
        <v>85</v>
      </c>
      <c r="C123" s="58">
        <f>12725919+150000</f>
        <v>12875919</v>
      </c>
      <c r="D123" s="65">
        <v>13139330</v>
      </c>
      <c r="E123" s="59">
        <v>13235000</v>
      </c>
      <c r="F123" s="65">
        <v>13110019</v>
      </c>
      <c r="G123" s="65">
        <v>13200000</v>
      </c>
      <c r="H123" s="65">
        <v>13500000</v>
      </c>
      <c r="I123" s="59">
        <v>13700000</v>
      </c>
      <c r="J123" s="6"/>
    </row>
    <row r="124" spans="2:10">
      <c r="B124" s="20" t="s">
        <v>86</v>
      </c>
      <c r="C124" s="58">
        <v>227411</v>
      </c>
      <c r="D124" s="66"/>
      <c r="E124" s="59"/>
      <c r="F124" s="59"/>
      <c r="G124" s="59"/>
      <c r="H124" s="59"/>
      <c r="I124" s="59"/>
      <c r="J124" s="6"/>
    </row>
    <row r="125" spans="2:10">
      <c r="B125" s="20" t="s">
        <v>87</v>
      </c>
      <c r="C125" s="59"/>
      <c r="D125" s="59"/>
      <c r="E125" s="59"/>
      <c r="F125" s="59"/>
      <c r="G125" s="59"/>
      <c r="H125" s="59"/>
      <c r="I125" s="59"/>
      <c r="J125" s="6"/>
    </row>
    <row r="126" spans="2:10">
      <c r="B126" s="41" t="s">
        <v>88</v>
      </c>
      <c r="C126" s="59"/>
      <c r="D126" s="59"/>
      <c r="E126" s="59"/>
      <c r="F126" s="59"/>
      <c r="G126" s="59"/>
      <c r="H126" s="59"/>
      <c r="I126" s="59"/>
      <c r="J126" s="6"/>
    </row>
    <row r="127" spans="2:10">
      <c r="B127" s="20" t="s">
        <v>89</v>
      </c>
      <c r="C127" s="59"/>
      <c r="D127" s="59"/>
      <c r="E127" s="59"/>
      <c r="F127" s="59"/>
      <c r="G127" s="59"/>
      <c r="H127" s="59"/>
      <c r="I127" s="59"/>
      <c r="J127" s="6"/>
    </row>
    <row r="128" spans="2:10">
      <c r="B128" s="20" t="s">
        <v>90</v>
      </c>
      <c r="C128" s="59"/>
      <c r="D128" s="59"/>
      <c r="E128" s="59"/>
      <c r="F128" s="59"/>
      <c r="G128" s="59"/>
      <c r="H128" s="59"/>
      <c r="I128" s="59"/>
      <c r="J128" s="6"/>
    </row>
    <row r="129" spans="2:10">
      <c r="B129" s="20" t="s">
        <v>91</v>
      </c>
      <c r="C129" s="59"/>
      <c r="D129" s="59"/>
      <c r="E129" s="59"/>
      <c r="F129" s="59"/>
      <c r="G129" s="59"/>
      <c r="H129" s="59"/>
      <c r="I129" s="59"/>
      <c r="J129" s="6"/>
    </row>
    <row r="130" spans="2:10">
      <c r="B130" s="20" t="s">
        <v>92</v>
      </c>
      <c r="C130" s="59"/>
      <c r="D130" s="59"/>
      <c r="E130" s="59"/>
      <c r="F130" s="59"/>
      <c r="G130" s="59"/>
      <c r="H130" s="59"/>
      <c r="I130" s="59"/>
      <c r="J130" s="6"/>
    </row>
    <row r="131" spans="2:10">
      <c r="B131" s="20" t="s">
        <v>93</v>
      </c>
      <c r="C131" s="59"/>
      <c r="D131" s="59"/>
      <c r="E131" s="59"/>
      <c r="F131" s="59"/>
      <c r="G131" s="59"/>
      <c r="H131" s="59"/>
      <c r="I131" s="59"/>
      <c r="J131" s="6"/>
    </row>
    <row r="132" spans="2:10">
      <c r="B132" s="20" t="s">
        <v>94</v>
      </c>
      <c r="C132" s="59"/>
      <c r="D132" s="59"/>
      <c r="E132" s="59"/>
      <c r="F132" s="59"/>
      <c r="G132" s="59"/>
      <c r="H132" s="59"/>
      <c r="I132" s="59"/>
      <c r="J132" s="6"/>
    </row>
    <row r="133" spans="2:10">
      <c r="B133" s="20" t="s">
        <v>95</v>
      </c>
      <c r="C133" s="59"/>
      <c r="D133" s="59"/>
      <c r="E133" s="59"/>
      <c r="F133" s="59"/>
      <c r="G133" s="59"/>
      <c r="H133" s="59"/>
      <c r="I133" s="59"/>
      <c r="J133" s="6"/>
    </row>
    <row r="134" spans="2:10">
      <c r="B134" s="48" t="s">
        <v>124</v>
      </c>
      <c r="C134" s="58">
        <v>13118</v>
      </c>
      <c r="D134" s="65">
        <v>15000</v>
      </c>
      <c r="E134" s="59">
        <v>15000</v>
      </c>
      <c r="F134" s="65">
        <v>15000</v>
      </c>
      <c r="G134" s="65">
        <v>15000</v>
      </c>
      <c r="H134" s="65">
        <v>15000</v>
      </c>
      <c r="I134" s="59">
        <v>15000</v>
      </c>
      <c r="J134" s="6"/>
    </row>
    <row r="135" spans="2:10" s="52" customFormat="1">
      <c r="B135" s="40" t="s">
        <v>96</v>
      </c>
      <c r="C135" s="67">
        <f>SUM(C136:C145)</f>
        <v>85503</v>
      </c>
      <c r="D135" s="67">
        <f>SUM(D136:D145)</f>
        <v>273644</v>
      </c>
      <c r="E135" s="67">
        <f t="shared" ref="E135" si="20">SUM(E136:E146)</f>
        <v>85000</v>
      </c>
      <c r="F135" s="67">
        <f>SUM(F136:F145)</f>
        <v>150000</v>
      </c>
      <c r="G135" s="67">
        <f>SUM(G136:G145)</f>
        <v>150000</v>
      </c>
      <c r="H135" s="67">
        <f>SUM(H136:H145)</f>
        <v>150000</v>
      </c>
      <c r="I135" s="67">
        <v>150000</v>
      </c>
      <c r="J135" s="51"/>
    </row>
    <row r="136" spans="2:10">
      <c r="B136" s="20" t="s">
        <v>97</v>
      </c>
      <c r="C136" s="59"/>
      <c r="D136" s="59"/>
      <c r="E136" s="59"/>
      <c r="F136" s="59"/>
      <c r="G136" s="59"/>
      <c r="H136" s="59"/>
      <c r="I136" s="59"/>
      <c r="J136" s="6"/>
    </row>
    <row r="137" spans="2:10">
      <c r="B137" s="20" t="s">
        <v>98</v>
      </c>
      <c r="C137" s="59"/>
      <c r="D137" s="59"/>
      <c r="E137" s="59"/>
      <c r="F137" s="59"/>
      <c r="G137" s="59"/>
      <c r="H137" s="59"/>
      <c r="I137" s="59"/>
      <c r="J137" s="6"/>
    </row>
    <row r="138" spans="2:10">
      <c r="B138" s="20" t="s">
        <v>99</v>
      </c>
      <c r="C138" s="59"/>
      <c r="D138" s="59"/>
      <c r="E138" s="59"/>
      <c r="F138" s="59"/>
      <c r="G138" s="59"/>
      <c r="H138" s="59"/>
      <c r="I138" s="59"/>
      <c r="J138" s="6"/>
    </row>
    <row r="139" spans="2:10" hidden="1">
      <c r="B139" s="20" t="s">
        <v>100</v>
      </c>
      <c r="C139" s="59"/>
      <c r="D139" s="59"/>
      <c r="E139" s="59"/>
      <c r="F139" s="59"/>
      <c r="G139" s="59"/>
      <c r="H139" s="59"/>
      <c r="I139" s="59"/>
      <c r="J139" s="6"/>
    </row>
    <row r="140" spans="2:10" hidden="1">
      <c r="B140" s="14" t="s">
        <v>101</v>
      </c>
      <c r="C140" s="59"/>
      <c r="D140" s="59"/>
      <c r="E140" s="59"/>
      <c r="F140" s="59"/>
      <c r="G140" s="59"/>
      <c r="H140" s="59"/>
      <c r="I140" s="59"/>
      <c r="J140" s="6"/>
    </row>
    <row r="141" spans="2:10" hidden="1">
      <c r="B141" s="14" t="s">
        <v>102</v>
      </c>
      <c r="C141" s="59"/>
      <c r="D141" s="59"/>
      <c r="E141" s="59"/>
      <c r="F141" s="59"/>
      <c r="G141" s="59"/>
      <c r="H141" s="59"/>
      <c r="I141" s="59"/>
      <c r="J141" s="6"/>
    </row>
    <row r="142" spans="2:10" hidden="1">
      <c r="B142" s="14" t="s">
        <v>103</v>
      </c>
      <c r="C142" s="59"/>
      <c r="D142" s="59"/>
      <c r="E142" s="59"/>
      <c r="F142" s="59"/>
      <c r="G142" s="59"/>
      <c r="H142" s="59"/>
      <c r="I142" s="59"/>
      <c r="J142" s="6"/>
    </row>
    <row r="143" spans="2:10" hidden="1">
      <c r="B143" s="14" t="s">
        <v>104</v>
      </c>
      <c r="C143" s="59"/>
      <c r="D143" s="59"/>
      <c r="E143" s="59"/>
      <c r="F143" s="59"/>
      <c r="G143" s="59"/>
      <c r="H143" s="59"/>
      <c r="I143" s="59"/>
      <c r="J143" s="6"/>
    </row>
    <row r="144" spans="2:10" hidden="1">
      <c r="B144" s="14" t="s">
        <v>105</v>
      </c>
      <c r="C144" s="59"/>
      <c r="D144" s="59"/>
      <c r="E144" s="59"/>
      <c r="F144" s="59"/>
      <c r="G144" s="59"/>
      <c r="H144" s="59"/>
      <c r="I144" s="59"/>
      <c r="J144" s="6"/>
    </row>
    <row r="145" spans="2:10">
      <c r="B145" s="49" t="s">
        <v>125</v>
      </c>
      <c r="C145" s="58">
        <v>85503</v>
      </c>
      <c r="D145" s="65">
        <v>273644</v>
      </c>
      <c r="E145" s="59">
        <v>85000</v>
      </c>
      <c r="F145" s="65">
        <v>150000</v>
      </c>
      <c r="G145" s="65">
        <v>150000</v>
      </c>
      <c r="H145" s="65">
        <v>150000</v>
      </c>
      <c r="I145" s="59">
        <v>150000</v>
      </c>
      <c r="J145" s="6"/>
    </row>
    <row r="146" spans="2:10">
      <c r="B146" s="20" t="s">
        <v>106</v>
      </c>
      <c r="C146" s="68"/>
      <c r="D146" s="68"/>
      <c r="E146" s="59"/>
      <c r="F146" s="68"/>
      <c r="G146" s="68"/>
      <c r="H146" s="68"/>
      <c r="I146" s="59"/>
      <c r="J146" s="6"/>
    </row>
    <row r="147" spans="2:10" ht="5" customHeight="1">
      <c r="B147" s="42"/>
      <c r="C147" s="59"/>
      <c r="D147" s="59"/>
      <c r="E147" s="59"/>
      <c r="F147" s="59"/>
      <c r="G147" s="59"/>
      <c r="H147" s="59"/>
      <c r="I147" s="59"/>
      <c r="J147" s="6"/>
    </row>
    <row r="148" spans="2:10">
      <c r="B148" s="13" t="s">
        <v>107</v>
      </c>
      <c r="C148" s="59"/>
      <c r="D148" s="59"/>
      <c r="E148" s="59"/>
      <c r="F148" s="59"/>
      <c r="G148" s="59"/>
      <c r="H148" s="59"/>
      <c r="I148" s="59"/>
      <c r="J148" s="6"/>
    </row>
    <row r="149" spans="2:10">
      <c r="B149" s="15" t="s">
        <v>108</v>
      </c>
      <c r="C149" s="57">
        <f t="shared" ref="C149:I149" si="21">SUM(C150:C156)</f>
        <v>0</v>
      </c>
      <c r="D149" s="57">
        <f t="shared" si="21"/>
        <v>0</v>
      </c>
      <c r="E149" s="57">
        <f t="shared" si="21"/>
        <v>0</v>
      </c>
      <c r="F149" s="57">
        <f t="shared" si="21"/>
        <v>0</v>
      </c>
      <c r="G149" s="57">
        <f t="shared" si="21"/>
        <v>0</v>
      </c>
      <c r="H149" s="57">
        <f t="shared" si="21"/>
        <v>0</v>
      </c>
      <c r="I149" s="57">
        <f t="shared" si="21"/>
        <v>0</v>
      </c>
      <c r="J149" s="6"/>
    </row>
    <row r="150" spans="2:10" hidden="1">
      <c r="B150" s="43" t="s">
        <v>109</v>
      </c>
      <c r="C150" s="59"/>
      <c r="D150" s="59"/>
      <c r="E150" s="59"/>
      <c r="F150" s="59"/>
      <c r="G150" s="59"/>
      <c r="H150" s="59"/>
      <c r="I150" s="59"/>
      <c r="J150" s="6"/>
    </row>
    <row r="151" spans="2:10" hidden="1">
      <c r="B151" s="16" t="s">
        <v>101</v>
      </c>
      <c r="C151" s="59"/>
      <c r="D151" s="59"/>
      <c r="E151" s="59"/>
      <c r="F151" s="59"/>
      <c r="G151" s="59"/>
      <c r="H151" s="59"/>
      <c r="I151" s="59"/>
      <c r="J151" s="6"/>
    </row>
    <row r="152" spans="2:10" hidden="1">
      <c r="B152" s="16" t="s">
        <v>102</v>
      </c>
      <c r="C152" s="59"/>
      <c r="D152" s="59"/>
      <c r="E152" s="59"/>
      <c r="F152" s="59"/>
      <c r="G152" s="59"/>
      <c r="H152" s="59"/>
      <c r="I152" s="59"/>
      <c r="J152" s="6"/>
    </row>
    <row r="153" spans="2:10" hidden="1">
      <c r="B153" s="16" t="s">
        <v>103</v>
      </c>
      <c r="C153" s="59"/>
      <c r="D153" s="59"/>
      <c r="E153" s="59"/>
      <c r="F153" s="59"/>
      <c r="G153" s="59"/>
      <c r="H153" s="59"/>
      <c r="I153" s="59"/>
      <c r="J153" s="6"/>
    </row>
    <row r="154" spans="2:10" hidden="1">
      <c r="B154" s="16" t="s">
        <v>104</v>
      </c>
      <c r="C154" s="59"/>
      <c r="D154" s="59"/>
      <c r="E154" s="59"/>
      <c r="F154" s="59"/>
      <c r="G154" s="59"/>
      <c r="H154" s="59"/>
      <c r="I154" s="59"/>
      <c r="J154" s="6"/>
    </row>
    <row r="155" spans="2:10" hidden="1">
      <c r="B155" s="16" t="s">
        <v>105</v>
      </c>
      <c r="C155" s="59"/>
      <c r="D155" s="59"/>
      <c r="E155" s="59"/>
      <c r="F155" s="59"/>
      <c r="G155" s="59"/>
      <c r="H155" s="59"/>
      <c r="I155" s="59"/>
      <c r="J155" s="6"/>
    </row>
    <row r="156" spans="2:10" hidden="1">
      <c r="B156" s="16" t="s">
        <v>110</v>
      </c>
      <c r="C156" s="59"/>
      <c r="D156" s="59"/>
      <c r="E156" s="59"/>
      <c r="F156" s="59"/>
      <c r="G156" s="59"/>
      <c r="H156" s="59"/>
      <c r="I156" s="59"/>
      <c r="J156" s="6"/>
    </row>
    <row r="157" spans="2:10" s="52" customFormat="1">
      <c r="B157" s="44" t="s">
        <v>14</v>
      </c>
      <c r="C157" s="61">
        <f t="shared" ref="C157:I157" si="22">C122+C135+C149+C148</f>
        <v>13201951</v>
      </c>
      <c r="D157" s="61">
        <f t="shared" si="22"/>
        <v>13427974</v>
      </c>
      <c r="E157" s="61">
        <f t="shared" si="22"/>
        <v>13335000</v>
      </c>
      <c r="F157" s="61">
        <f t="shared" si="22"/>
        <v>13275019</v>
      </c>
      <c r="G157" s="61">
        <f t="shared" si="22"/>
        <v>13365000</v>
      </c>
      <c r="H157" s="61">
        <f t="shared" si="22"/>
        <v>13665000</v>
      </c>
      <c r="I157" s="61">
        <f t="shared" si="22"/>
        <v>13865000</v>
      </c>
      <c r="J157" s="51"/>
    </row>
    <row r="158" spans="2:10" s="52" customFormat="1">
      <c r="B158" s="44" t="s">
        <v>111</v>
      </c>
      <c r="C158" s="61">
        <f t="shared" ref="C158:I158" si="23">C157-C159</f>
        <v>13201951</v>
      </c>
      <c r="D158" s="61">
        <f t="shared" si="23"/>
        <v>13427974</v>
      </c>
      <c r="E158" s="61">
        <f t="shared" si="23"/>
        <v>13335000</v>
      </c>
      <c r="F158" s="61">
        <f t="shared" si="23"/>
        <v>13275019</v>
      </c>
      <c r="G158" s="61">
        <f t="shared" si="23"/>
        <v>13365000</v>
      </c>
      <c r="H158" s="61">
        <f t="shared" si="23"/>
        <v>13665000</v>
      </c>
      <c r="I158" s="61">
        <f t="shared" si="23"/>
        <v>13865000</v>
      </c>
      <c r="J158" s="51"/>
    </row>
    <row r="159" spans="2:10">
      <c r="B159" s="17" t="s">
        <v>16</v>
      </c>
      <c r="C159" s="57">
        <f t="shared" ref="C159:I159" si="24">C149</f>
        <v>0</v>
      </c>
      <c r="D159" s="57">
        <f t="shared" si="24"/>
        <v>0</v>
      </c>
      <c r="E159" s="57">
        <f t="shared" si="24"/>
        <v>0</v>
      </c>
      <c r="F159" s="57">
        <f t="shared" si="24"/>
        <v>0</v>
      </c>
      <c r="G159" s="57">
        <f t="shared" si="24"/>
        <v>0</v>
      </c>
      <c r="H159" s="57">
        <f t="shared" si="24"/>
        <v>0</v>
      </c>
      <c r="I159" s="57">
        <f t="shared" si="24"/>
        <v>0</v>
      </c>
      <c r="J159" s="6"/>
    </row>
    <row r="160" spans="2:10" ht="3" customHeight="1">
      <c r="B160" s="14"/>
      <c r="C160" s="56"/>
      <c r="D160" s="56"/>
      <c r="E160" s="56"/>
      <c r="F160" s="56"/>
      <c r="G160" s="56"/>
      <c r="H160" s="56"/>
      <c r="I160" s="56"/>
      <c r="J160" s="6"/>
    </row>
    <row r="161" spans="2:10">
      <c r="B161" s="14" t="s">
        <v>112</v>
      </c>
      <c r="C161" s="58"/>
      <c r="D161" s="65"/>
      <c r="E161" s="59"/>
      <c r="F161" s="65"/>
      <c r="G161" s="65"/>
      <c r="H161" s="65"/>
      <c r="I161" s="59"/>
      <c r="J161" s="6"/>
    </row>
    <row r="162" spans="2:10">
      <c r="B162" s="14" t="s">
        <v>113</v>
      </c>
      <c r="C162" s="58">
        <v>29942</v>
      </c>
      <c r="D162" s="65">
        <v>30000</v>
      </c>
      <c r="E162" s="59">
        <v>30000</v>
      </c>
      <c r="F162" s="65">
        <v>30000</v>
      </c>
      <c r="G162" s="65">
        <v>30000</v>
      </c>
      <c r="H162" s="65">
        <v>30000</v>
      </c>
      <c r="I162" s="59">
        <v>30000</v>
      </c>
      <c r="J162" s="6"/>
    </row>
    <row r="163" spans="2:10">
      <c r="B163" s="14" t="s">
        <v>114</v>
      </c>
      <c r="C163" s="58"/>
      <c r="D163" s="65">
        <v>35000</v>
      </c>
      <c r="E163" s="59">
        <v>23000</v>
      </c>
      <c r="F163" s="65">
        <v>23000</v>
      </c>
      <c r="G163" s="65">
        <v>23000</v>
      </c>
      <c r="H163" s="65">
        <v>23000</v>
      </c>
      <c r="I163" s="59">
        <v>23000</v>
      </c>
      <c r="J163" s="6"/>
    </row>
    <row r="164" spans="2:10">
      <c r="B164" s="20" t="s">
        <v>115</v>
      </c>
      <c r="C164" s="58"/>
      <c r="D164" s="65"/>
      <c r="E164" s="59"/>
      <c r="F164" s="65"/>
      <c r="G164" s="65"/>
      <c r="H164" s="65"/>
      <c r="I164" s="59"/>
      <c r="J164" s="6"/>
    </row>
    <row r="165" spans="2:10">
      <c r="B165" s="14" t="s">
        <v>116</v>
      </c>
      <c r="C165" s="58">
        <v>88263</v>
      </c>
      <c r="D165" s="65"/>
      <c r="E165" s="59"/>
      <c r="F165" s="65"/>
      <c r="G165" s="65"/>
      <c r="H165" s="65"/>
      <c r="I165" s="59"/>
      <c r="J165" s="6"/>
    </row>
    <row r="166" spans="2:10">
      <c r="B166" s="14" t="s">
        <v>117</v>
      </c>
      <c r="C166" s="58">
        <v>580228</v>
      </c>
      <c r="D166" s="65">
        <v>500000</v>
      </c>
      <c r="E166" s="59">
        <v>500000</v>
      </c>
      <c r="F166" s="65">
        <v>500000</v>
      </c>
      <c r="G166" s="65">
        <v>500000</v>
      </c>
      <c r="H166" s="65">
        <v>500000</v>
      </c>
      <c r="I166" s="59">
        <v>500000</v>
      </c>
      <c r="J166" s="6"/>
    </row>
    <row r="167" spans="2:10">
      <c r="B167" s="14" t="s">
        <v>118</v>
      </c>
      <c r="C167" s="58">
        <v>5406</v>
      </c>
      <c r="D167" s="65"/>
      <c r="E167" s="59"/>
      <c r="F167" s="65"/>
      <c r="G167" s="65"/>
      <c r="H167" s="65"/>
      <c r="I167" s="59"/>
      <c r="J167" s="6"/>
    </row>
    <row r="168" spans="2:10">
      <c r="B168" s="14" t="s">
        <v>119</v>
      </c>
      <c r="C168" s="58"/>
      <c r="D168" s="65"/>
      <c r="E168" s="59"/>
      <c r="F168" s="65"/>
      <c r="G168" s="65"/>
      <c r="H168" s="65"/>
      <c r="I168" s="59"/>
      <c r="J168" s="6"/>
    </row>
    <row r="169" spans="2:10">
      <c r="B169" s="20" t="s">
        <v>120</v>
      </c>
      <c r="C169" s="58"/>
      <c r="D169" s="65">
        <v>2000</v>
      </c>
      <c r="E169" s="59">
        <v>2000</v>
      </c>
      <c r="F169" s="65">
        <v>2000</v>
      </c>
      <c r="G169" s="65">
        <v>2000</v>
      </c>
      <c r="H169" s="65">
        <v>2000</v>
      </c>
      <c r="I169" s="59">
        <v>2000</v>
      </c>
      <c r="J169" s="6"/>
    </row>
    <row r="170" spans="2:10" s="52" customFormat="1">
      <c r="B170" s="44" t="s">
        <v>83</v>
      </c>
      <c r="C170" s="61">
        <f t="shared" ref="C170:I170" si="25">SUM(C161:C169)</f>
        <v>703839</v>
      </c>
      <c r="D170" s="61">
        <f t="shared" si="25"/>
        <v>567000</v>
      </c>
      <c r="E170" s="61">
        <f t="shared" si="25"/>
        <v>555000</v>
      </c>
      <c r="F170" s="61">
        <f t="shared" si="25"/>
        <v>555000</v>
      </c>
      <c r="G170" s="61">
        <f t="shared" si="25"/>
        <v>555000</v>
      </c>
      <c r="H170" s="61">
        <f t="shared" si="25"/>
        <v>555000</v>
      </c>
      <c r="I170" s="61">
        <f t="shared" si="25"/>
        <v>555000</v>
      </c>
      <c r="J170" s="51"/>
    </row>
    <row r="171" spans="2:10" s="52" customFormat="1">
      <c r="B171" s="53" t="s">
        <v>121</v>
      </c>
      <c r="C171" s="61">
        <f t="shared" ref="C171:I171" si="26">C157+C120+C170</f>
        <v>14517676</v>
      </c>
      <c r="D171" s="61">
        <f t="shared" si="26"/>
        <v>14594974</v>
      </c>
      <c r="E171" s="61">
        <f t="shared" si="26"/>
        <v>14556000</v>
      </c>
      <c r="F171" s="61">
        <f t="shared" si="26"/>
        <v>14496019</v>
      </c>
      <c r="G171" s="61">
        <f t="shared" si="26"/>
        <v>14616000</v>
      </c>
      <c r="H171" s="61">
        <f t="shared" si="26"/>
        <v>14971000</v>
      </c>
      <c r="I171" s="61">
        <f t="shared" si="26"/>
        <v>15211000</v>
      </c>
      <c r="J171" s="51"/>
    </row>
    <row r="172" spans="2:10" s="52" customFormat="1">
      <c r="B172" s="44" t="s">
        <v>122</v>
      </c>
      <c r="C172" s="61">
        <f t="shared" ref="C172:I172" si="27">C171-C173</f>
        <v>14517676</v>
      </c>
      <c r="D172" s="61">
        <f t="shared" si="27"/>
        <v>14594974</v>
      </c>
      <c r="E172" s="61">
        <f t="shared" si="27"/>
        <v>14556000</v>
      </c>
      <c r="F172" s="61">
        <f t="shared" si="27"/>
        <v>14496019</v>
      </c>
      <c r="G172" s="61">
        <f t="shared" si="27"/>
        <v>14616000</v>
      </c>
      <c r="H172" s="61">
        <f t="shared" si="27"/>
        <v>14971000</v>
      </c>
      <c r="I172" s="61">
        <f t="shared" si="27"/>
        <v>15211000</v>
      </c>
      <c r="J172" s="51"/>
    </row>
    <row r="173" spans="2:10">
      <c r="B173" s="45" t="s">
        <v>123</v>
      </c>
      <c r="C173" s="69">
        <f t="shared" ref="C173:I173" si="28">C159</f>
        <v>0</v>
      </c>
      <c r="D173" s="69">
        <f t="shared" si="28"/>
        <v>0</v>
      </c>
      <c r="E173" s="69">
        <f t="shared" si="28"/>
        <v>0</v>
      </c>
      <c r="F173" s="69">
        <f t="shared" si="28"/>
        <v>0</v>
      </c>
      <c r="G173" s="69">
        <f t="shared" si="28"/>
        <v>0</v>
      </c>
      <c r="H173" s="69">
        <f t="shared" si="28"/>
        <v>0</v>
      </c>
      <c r="I173" s="69">
        <f t="shared" si="28"/>
        <v>0</v>
      </c>
      <c r="J173" s="6"/>
    </row>
    <row r="174" spans="2:10">
      <c r="B174" s="46"/>
      <c r="C174" s="70"/>
      <c r="D174" s="70"/>
      <c r="E174" s="70"/>
      <c r="F174" s="70"/>
      <c r="G174" s="70"/>
      <c r="H174" s="70"/>
      <c r="I174" s="70"/>
      <c r="J174" s="6"/>
    </row>
    <row r="175" spans="2:10">
      <c r="B175" s="46"/>
      <c r="C175" s="70"/>
      <c r="D175" s="70"/>
      <c r="E175" s="71"/>
      <c r="F175" s="71"/>
      <c r="G175" s="71"/>
      <c r="H175" s="70"/>
      <c r="I175" s="70"/>
      <c r="J175" s="6"/>
    </row>
    <row r="176" spans="2:10">
      <c r="B176" s="46"/>
      <c r="C176" s="70"/>
      <c r="D176" s="70"/>
      <c r="E176" s="70"/>
      <c r="F176" s="70"/>
      <c r="G176" s="70"/>
      <c r="H176" s="70"/>
      <c r="I176" s="70"/>
      <c r="J176" s="6"/>
    </row>
    <row r="177" spans="2:10">
      <c r="B177" s="46"/>
      <c r="C177" s="70"/>
      <c r="D177" s="70"/>
      <c r="E177" s="70"/>
      <c r="F177" s="70"/>
      <c r="G177" s="70"/>
      <c r="H177" s="70"/>
      <c r="I177" s="70"/>
      <c r="J177" s="6"/>
    </row>
    <row r="178" spans="2:10">
      <c r="B178" s="46"/>
      <c r="C178" s="47"/>
      <c r="D178" s="47"/>
      <c r="E178" s="47"/>
      <c r="F178" s="47"/>
      <c r="G178" s="47"/>
      <c r="H178" s="47"/>
      <c r="I178" s="47"/>
      <c r="J178" s="6"/>
    </row>
    <row r="179" spans="2:10">
      <c r="B179" s="46"/>
      <c r="C179" s="6"/>
      <c r="D179" s="6"/>
      <c r="E179" s="6"/>
      <c r="F179" s="6"/>
      <c r="G179" s="6"/>
      <c r="H179" s="6"/>
      <c r="I179" s="6"/>
      <c r="J179" s="6"/>
    </row>
    <row r="180" spans="2:10">
      <c r="B180" s="46"/>
      <c r="C180" s="6"/>
      <c r="D180" s="6"/>
      <c r="E180" s="6"/>
      <c r="F180" s="6"/>
      <c r="G180" s="6"/>
      <c r="H180" s="6"/>
      <c r="I180" s="6"/>
      <c r="J180" s="6"/>
    </row>
    <row r="181" spans="2:10">
      <c r="B181" s="46"/>
      <c r="C181" s="6"/>
      <c r="D181" s="6"/>
      <c r="E181" s="6"/>
      <c r="F181" s="6"/>
      <c r="G181" s="6"/>
      <c r="H181" s="6"/>
      <c r="I181" s="6"/>
      <c r="J181" s="6"/>
    </row>
    <row r="182" spans="2:10">
      <c r="B182" s="46"/>
      <c r="C182" s="6"/>
      <c r="D182" s="6"/>
      <c r="E182" s="6"/>
      <c r="F182" s="6"/>
      <c r="G182" s="6"/>
      <c r="H182" s="6"/>
      <c r="I182" s="6"/>
      <c r="J182" s="6"/>
    </row>
    <row r="183" spans="2:10">
      <c r="C183" s="6"/>
      <c r="D183" s="6"/>
      <c r="E183" s="6"/>
      <c r="F183" s="6"/>
      <c r="G183" s="6"/>
      <c r="H183" s="6"/>
      <c r="I183" s="6"/>
      <c r="J183" s="6"/>
    </row>
    <row r="184" spans="2:10">
      <c r="C184" s="6"/>
      <c r="D184" s="6"/>
      <c r="E184" s="6"/>
      <c r="F184" s="6"/>
      <c r="G184" s="6"/>
      <c r="H184" s="6"/>
      <c r="I184" s="6"/>
      <c r="J184" s="6"/>
    </row>
    <row r="185" spans="2:10">
      <c r="C185" s="6"/>
      <c r="D185" s="6"/>
      <c r="E185" s="6"/>
      <c r="F185" s="6"/>
      <c r="G185" s="6"/>
      <c r="H185" s="6"/>
      <c r="I185" s="6"/>
      <c r="J185" s="6"/>
    </row>
    <row r="186" spans="2:10">
      <c r="C186" s="6"/>
      <c r="D186" s="6"/>
      <c r="E186" s="6"/>
      <c r="F186" s="6"/>
      <c r="G186" s="6"/>
      <c r="H186" s="6"/>
      <c r="I186" s="6"/>
      <c r="J186" s="6"/>
    </row>
    <row r="187" spans="2:10">
      <c r="C187" s="6"/>
      <c r="D187" s="6"/>
      <c r="E187" s="6"/>
      <c r="F187" s="6"/>
      <c r="G187" s="6"/>
      <c r="H187" s="6"/>
      <c r="I187" s="6"/>
      <c r="J187" s="6"/>
    </row>
    <row r="188" spans="2:10">
      <c r="C188" s="6"/>
      <c r="D188" s="6"/>
      <c r="E188" s="6"/>
      <c r="F188" s="6"/>
      <c r="G188" s="6"/>
      <c r="H188" s="6"/>
      <c r="I188" s="6"/>
      <c r="J188" s="6"/>
    </row>
    <row r="189" spans="2:10">
      <c r="C189" s="6"/>
      <c r="D189" s="6"/>
      <c r="E189" s="6"/>
      <c r="F189" s="6"/>
      <c r="G189" s="6"/>
      <c r="H189" s="6"/>
      <c r="I189" s="6"/>
      <c r="J189" s="6"/>
    </row>
    <row r="190" spans="2:10">
      <c r="C190" s="6"/>
      <c r="D190" s="6"/>
      <c r="E190" s="6"/>
      <c r="F190" s="6"/>
      <c r="G190" s="6"/>
      <c r="H190" s="6"/>
      <c r="I190" s="6"/>
      <c r="J190" s="6"/>
    </row>
    <row r="191" spans="2:10">
      <c r="C191" s="6"/>
      <c r="D191" s="6"/>
      <c r="E191" s="6"/>
      <c r="F191" s="6"/>
      <c r="G191" s="6"/>
      <c r="H191" s="6"/>
      <c r="I191" s="6"/>
      <c r="J191" s="6"/>
    </row>
    <row r="192" spans="2:10">
      <c r="C192" s="6"/>
      <c r="D192" s="6"/>
      <c r="E192" s="6"/>
      <c r="F192" s="6"/>
      <c r="G192" s="6"/>
      <c r="H192" s="6"/>
      <c r="I192" s="6"/>
      <c r="J192" s="6"/>
    </row>
    <row r="193" spans="3:10">
      <c r="C193" s="6"/>
      <c r="D193" s="6"/>
      <c r="E193" s="6"/>
      <c r="F193" s="6"/>
      <c r="G193" s="6"/>
      <c r="H193" s="6"/>
      <c r="I193" s="6"/>
      <c r="J193" s="6"/>
    </row>
    <row r="194" spans="3:10">
      <c r="C194" s="6"/>
      <c r="D194" s="6"/>
      <c r="E194" s="6"/>
      <c r="F194" s="6"/>
      <c r="G194" s="6"/>
      <c r="H194" s="6"/>
      <c r="I194" s="6"/>
      <c r="J194" s="6"/>
    </row>
    <row r="195" spans="3:10">
      <c r="C195" s="6"/>
      <c r="D195" s="6"/>
      <c r="E195" s="6"/>
      <c r="F195" s="6"/>
      <c r="G195" s="6"/>
      <c r="H195" s="6"/>
      <c r="I195" s="6"/>
      <c r="J195" s="6"/>
    </row>
    <row r="196" spans="3:10">
      <c r="C196" s="6"/>
      <c r="D196" s="6"/>
      <c r="E196" s="6"/>
      <c r="F196" s="6"/>
      <c r="G196" s="6"/>
      <c r="H196" s="6"/>
      <c r="I196" s="6"/>
      <c r="J196" s="6"/>
    </row>
    <row r="197" spans="3:10">
      <c r="C197" s="6"/>
      <c r="D197" s="6"/>
      <c r="E197" s="6"/>
      <c r="F197" s="6"/>
      <c r="G197" s="6"/>
      <c r="H197" s="6"/>
      <c r="I197" s="6"/>
      <c r="J197" s="6"/>
    </row>
    <row r="198" spans="3:10">
      <c r="C198" s="6"/>
      <c r="D198" s="6"/>
      <c r="E198" s="6"/>
      <c r="F198" s="6"/>
      <c r="G198" s="6"/>
      <c r="H198" s="6"/>
      <c r="I198" s="6"/>
      <c r="J198" s="6"/>
    </row>
    <row r="199" spans="3:10">
      <c r="C199" s="6"/>
      <c r="D199" s="6"/>
      <c r="E199" s="6"/>
      <c r="F199" s="6"/>
      <c r="G199" s="6"/>
      <c r="H199" s="6"/>
      <c r="I199" s="6"/>
      <c r="J199" s="6"/>
    </row>
    <row r="200" spans="3:10">
      <c r="C200" s="6"/>
      <c r="D200" s="6"/>
      <c r="E200" s="6"/>
      <c r="F200" s="6"/>
      <c r="G200" s="6"/>
      <c r="H200" s="6"/>
      <c r="I200" s="6"/>
      <c r="J200" s="6"/>
    </row>
    <row r="201" spans="3:10">
      <c r="C201" s="6"/>
      <c r="D201" s="6"/>
      <c r="E201" s="6"/>
      <c r="F201" s="6"/>
      <c r="G201" s="6"/>
      <c r="H201" s="6"/>
      <c r="I201" s="6"/>
      <c r="J201" s="6"/>
    </row>
    <row r="202" spans="3:10">
      <c r="C202" s="6"/>
      <c r="D202" s="6"/>
      <c r="E202" s="6"/>
      <c r="F202" s="6"/>
      <c r="G202" s="6"/>
      <c r="H202" s="6"/>
      <c r="I202" s="6"/>
      <c r="J202" s="6"/>
    </row>
    <row r="203" spans="3:10">
      <c r="C203" s="6"/>
      <c r="D203" s="6"/>
      <c r="E203" s="6"/>
      <c r="F203" s="6"/>
      <c r="G203" s="6"/>
      <c r="H203" s="6"/>
      <c r="I203" s="6"/>
      <c r="J203" s="6"/>
    </row>
    <row r="204" spans="3:10">
      <c r="C204" s="6"/>
      <c r="D204" s="6"/>
      <c r="E204" s="6"/>
      <c r="F204" s="6"/>
      <c r="G204" s="6"/>
      <c r="H204" s="6"/>
      <c r="I204" s="6"/>
      <c r="J204" s="6"/>
    </row>
    <row r="205" spans="3:10">
      <c r="C205" s="6"/>
      <c r="D205" s="6"/>
      <c r="E205" s="6"/>
      <c r="F205" s="6"/>
      <c r="G205" s="6"/>
      <c r="H205" s="6"/>
      <c r="I205" s="6"/>
      <c r="J205" s="6"/>
    </row>
    <row r="206" spans="3:10">
      <c r="C206" s="6"/>
      <c r="D206" s="6"/>
      <c r="E206" s="6"/>
      <c r="F206" s="6"/>
      <c r="G206" s="6"/>
      <c r="H206" s="6"/>
      <c r="I206" s="6"/>
      <c r="J206" s="6"/>
    </row>
    <row r="207" spans="3:10">
      <c r="C207" s="6"/>
      <c r="D207" s="6"/>
      <c r="E207" s="6"/>
      <c r="F207" s="6"/>
      <c r="G207" s="6"/>
      <c r="H207" s="6"/>
      <c r="I207" s="6"/>
      <c r="J207" s="6"/>
    </row>
    <row r="208" spans="3:10">
      <c r="C208" s="6"/>
      <c r="D208" s="6"/>
      <c r="E208" s="6"/>
      <c r="F208" s="6"/>
      <c r="G208" s="6"/>
      <c r="H208" s="6"/>
      <c r="I208" s="6"/>
      <c r="J208" s="6"/>
    </row>
    <row r="209" spans="3:10">
      <c r="C209" s="6"/>
      <c r="D209" s="6"/>
      <c r="E209" s="6"/>
      <c r="F209" s="6"/>
      <c r="G209" s="6"/>
      <c r="H209" s="6"/>
      <c r="I209" s="6"/>
      <c r="J209" s="6"/>
    </row>
    <row r="210" spans="3:10">
      <c r="C210" s="6"/>
      <c r="D210" s="6"/>
      <c r="E210" s="6"/>
      <c r="F210" s="6"/>
      <c r="G210" s="6"/>
      <c r="H210" s="6"/>
      <c r="I210" s="6"/>
      <c r="J210" s="6"/>
    </row>
    <row r="211" spans="3:10">
      <c r="C211" s="6"/>
      <c r="D211" s="6"/>
      <c r="E211" s="6"/>
      <c r="F211" s="6"/>
      <c r="G211" s="6"/>
      <c r="H211" s="6"/>
      <c r="I211" s="6"/>
      <c r="J211" s="6"/>
    </row>
    <row r="212" spans="3:10">
      <c r="C212" s="6"/>
      <c r="D212" s="6"/>
      <c r="E212" s="6"/>
      <c r="F212" s="6"/>
      <c r="G212" s="6"/>
      <c r="H212" s="6"/>
      <c r="I212" s="6"/>
      <c r="J212" s="6"/>
    </row>
    <row r="213" spans="3:10">
      <c r="C213" s="6"/>
      <c r="D213" s="6"/>
      <c r="E213" s="6"/>
      <c r="F213" s="6"/>
      <c r="G213" s="6"/>
      <c r="H213" s="6"/>
      <c r="I213" s="6"/>
      <c r="J213" s="6"/>
    </row>
    <row r="214" spans="3:10">
      <c r="C214" s="6"/>
      <c r="D214" s="6"/>
      <c r="E214" s="6"/>
      <c r="F214" s="6"/>
      <c r="G214" s="6"/>
      <c r="H214" s="6"/>
      <c r="I214" s="6"/>
      <c r="J214" s="6"/>
    </row>
    <row r="215" spans="3:10">
      <c r="C215" s="6"/>
      <c r="D215" s="6"/>
      <c r="E215" s="6"/>
      <c r="F215" s="6"/>
      <c r="G215" s="6"/>
      <c r="H215" s="6"/>
      <c r="I215" s="6"/>
      <c r="J215" s="6"/>
    </row>
    <row r="216" spans="3:10">
      <c r="C216" s="6"/>
      <c r="D216" s="6"/>
      <c r="E216" s="6"/>
      <c r="F216" s="6"/>
      <c r="G216" s="6"/>
      <c r="H216" s="6"/>
      <c r="I216" s="6"/>
      <c r="J216" s="6"/>
    </row>
    <row r="217" spans="3:10">
      <c r="C217" s="6"/>
      <c r="D217" s="6"/>
      <c r="E217" s="6"/>
      <c r="F217" s="6"/>
      <c r="G217" s="6"/>
      <c r="H217" s="6"/>
      <c r="I217" s="6"/>
      <c r="J217" s="6"/>
    </row>
    <row r="218" spans="3:10">
      <c r="C218" s="6"/>
      <c r="D218" s="6"/>
      <c r="E218" s="6"/>
      <c r="F218" s="6"/>
      <c r="G218" s="6"/>
      <c r="H218" s="6"/>
      <c r="I218" s="6"/>
      <c r="J218" s="6"/>
    </row>
    <row r="219" spans="3:10">
      <c r="C219" s="6"/>
      <c r="D219" s="6"/>
      <c r="E219" s="6"/>
      <c r="F219" s="6"/>
      <c r="G219" s="6"/>
      <c r="H219" s="6"/>
      <c r="I219" s="6"/>
      <c r="J219" s="6"/>
    </row>
    <row r="220" spans="3:10">
      <c r="C220" s="6"/>
      <c r="D220" s="6"/>
      <c r="E220" s="6"/>
      <c r="F220" s="6"/>
      <c r="G220" s="6"/>
      <c r="H220" s="6"/>
      <c r="I220" s="6"/>
      <c r="J220" s="6"/>
    </row>
    <row r="221" spans="3:10">
      <c r="C221" s="6"/>
      <c r="D221" s="6"/>
      <c r="E221" s="6"/>
      <c r="F221" s="6"/>
      <c r="G221" s="6"/>
      <c r="H221" s="6"/>
      <c r="I221" s="6"/>
      <c r="J221" s="6"/>
    </row>
    <row r="222" spans="3:10">
      <c r="C222" s="6"/>
      <c r="D222" s="6"/>
      <c r="E222" s="6"/>
      <c r="F222" s="6"/>
      <c r="G222" s="6"/>
      <c r="H222" s="6"/>
      <c r="I222" s="6"/>
      <c r="J222" s="6"/>
    </row>
    <row r="223" spans="3:10">
      <c r="C223" s="6"/>
      <c r="D223" s="6"/>
      <c r="E223" s="6"/>
      <c r="F223" s="6"/>
      <c r="G223" s="6"/>
      <c r="H223" s="6"/>
      <c r="I223" s="6"/>
      <c r="J223" s="6"/>
    </row>
    <row r="224" spans="3:10">
      <c r="C224" s="6"/>
      <c r="D224" s="6"/>
      <c r="E224" s="6"/>
      <c r="F224" s="6"/>
      <c r="G224" s="6"/>
      <c r="H224" s="6"/>
      <c r="I224" s="6"/>
      <c r="J224" s="6"/>
    </row>
  </sheetData>
  <mergeCells count="1">
    <mergeCell ref="B2:D2"/>
  </mergeCells>
  <pageMargins left="0.78749999999999998" right="0.78749999999999998" top="0.54513888888888884" bottom="0.52430555555555558" header="0.30763888888888891" footer="0.28680555555555554"/>
  <pageSetup paperSize="8" fitToHeight="0" orientation="landscape" useFirstPageNumber="1" horizontalDpi="300" verticalDpi="300"/>
  <headerFooter alignWithMargins="0">
    <oddHeader>&amp;C&amp;A</oddHeader>
    <oddFooter>&amp;CPage &amp;P</oddFooter>
  </headerFooter>
  <rowBreaks count="2" manualBreakCount="2">
    <brk id="58" max="16383" man="1"/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"/>
  <sheetViews>
    <sheetView view="pageBreakPreview" topLeftCell="A10" zoomScaleSheetLayoutView="100" workbookViewId="0">
      <selection activeCell="L172" sqref="L172"/>
    </sheetView>
  </sheetViews>
  <sheetFormatPr baseColWidth="10" defaultColWidth="11.5" defaultRowHeight="11" x14ac:dyDescent="0"/>
  <cols>
    <col min="1" max="1" width="40.83203125" style="76" customWidth="1"/>
    <col min="2" max="2" width="17.33203125" style="81" bestFit="1" customWidth="1"/>
    <col min="3" max="3" width="14.33203125" style="76" customWidth="1"/>
    <col min="4" max="6" width="15.83203125" style="76" customWidth="1"/>
    <col min="7" max="7" width="11.5" style="76"/>
    <col min="8" max="8" width="15.83203125" style="76" customWidth="1"/>
    <col min="9" max="10" width="11.5" style="76"/>
    <col min="11" max="11" width="15.83203125" style="76" customWidth="1"/>
    <col min="12" max="12" width="15.83203125" style="87" customWidth="1"/>
    <col min="13" max="13" width="11.5" style="76"/>
    <col min="14" max="14" width="15.83203125" style="76" customWidth="1"/>
    <col min="15" max="15" width="15.83203125" style="87" customWidth="1"/>
    <col min="16" max="16384" width="11.5" style="76"/>
  </cols>
  <sheetData>
    <row r="1" spans="1:15">
      <c r="A1" s="91" t="s">
        <v>154</v>
      </c>
      <c r="B1" s="81">
        <v>2016</v>
      </c>
      <c r="C1" s="76">
        <v>2017</v>
      </c>
      <c r="D1" s="76">
        <v>2018</v>
      </c>
      <c r="E1" s="76">
        <v>2019</v>
      </c>
      <c r="F1" s="76">
        <v>2020</v>
      </c>
    </row>
    <row r="2" spans="1:15" ht="13"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92" t="s">
        <v>157</v>
      </c>
      <c r="K2" s="106" t="s">
        <v>152</v>
      </c>
      <c r="L2" s="107"/>
      <c r="N2" s="106" t="s">
        <v>153</v>
      </c>
      <c r="O2" s="107"/>
    </row>
    <row r="3" spans="1:15">
      <c r="A3" s="74" t="s">
        <v>126</v>
      </c>
      <c r="B3" s="75">
        <f>+B4+B7</f>
        <v>14106936</v>
      </c>
      <c r="C3" s="75">
        <f t="shared" ref="C3:F3" si="0">+C4+C7</f>
        <v>14474578.420182798</v>
      </c>
      <c r="D3" s="75">
        <f t="shared" si="0"/>
        <v>14856503.723043922</v>
      </c>
      <c r="E3" s="75">
        <f t="shared" si="0"/>
        <v>15052657.289274363</v>
      </c>
      <c r="F3" s="75">
        <f t="shared" si="0"/>
        <v>15252410.047037106</v>
      </c>
      <c r="H3" s="75">
        <f>+AVERAGE(B3:F3)</f>
        <v>14748617.095907638</v>
      </c>
      <c r="K3" s="75">
        <f>+D3-B3</f>
        <v>749567.72304392233</v>
      </c>
      <c r="L3" s="83">
        <f>+D3/B3-1</f>
        <v>5.3134693674368627E-2</v>
      </c>
      <c r="N3" s="75">
        <f>+F3-B3</f>
        <v>1145474.047037106</v>
      </c>
      <c r="O3" s="83">
        <f>+F3/B3-1</f>
        <v>8.1199350946024484E-2</v>
      </c>
    </row>
    <row r="4" spans="1:15">
      <c r="A4" s="77" t="s">
        <v>127</v>
      </c>
      <c r="B4" s="78">
        <f>+SUM(B5:B6)</f>
        <v>10915770</v>
      </c>
      <c r="C4" s="78">
        <f t="shared" ref="C4:F4" si="1">+SUM(C5:C6)</f>
        <v>11090178.420182798</v>
      </c>
      <c r="D4" s="78">
        <f t="shared" si="1"/>
        <v>11427077.273043923</v>
      </c>
      <c r="E4" s="78">
        <f t="shared" si="1"/>
        <v>11541348.045774363</v>
      </c>
      <c r="F4" s="78">
        <f t="shared" si="1"/>
        <v>11656761.526232107</v>
      </c>
      <c r="H4" s="78">
        <f t="shared" ref="H4:H45" si="2">+AVERAGE(B4:F4)</f>
        <v>11326227.053046638</v>
      </c>
      <c r="K4" s="78">
        <f t="shared" ref="K4:K49" si="3">+D4-B4</f>
        <v>511307.27304392308</v>
      </c>
      <c r="L4" s="84">
        <f t="shared" ref="L4:L49" si="4">+D4/B4-1</f>
        <v>4.6841154865293388E-2</v>
      </c>
      <c r="N4" s="78">
        <f t="shared" ref="N4:N11" si="5">+F4-B4</f>
        <v>740991.52623210661</v>
      </c>
      <c r="O4" s="84">
        <f t="shared" ref="O4:O11" si="6">+F4/B4-1</f>
        <v>6.7882662078085687E-2</v>
      </c>
    </row>
    <row r="5" spans="1:15">
      <c r="A5" s="79" t="s">
        <v>128</v>
      </c>
      <c r="B5" s="80">
        <f>+Feuille1!D20</f>
        <v>3411178.3491817731</v>
      </c>
      <c r="C5" s="80">
        <f>+Feuille1!E20</f>
        <v>3480000</v>
      </c>
      <c r="D5" s="80">
        <f>+Feuille1!F20</f>
        <v>3583937.2666408601</v>
      </c>
      <c r="E5" s="80">
        <f>+Feuille1!G20</f>
        <v>3619776.6393072689</v>
      </c>
      <c r="F5" s="80">
        <f>+Feuille1!H20</f>
        <v>3655974.4057003413</v>
      </c>
      <c r="H5" s="80">
        <f t="shared" si="2"/>
        <v>3550173.3321660487</v>
      </c>
      <c r="K5" s="80">
        <f t="shared" si="3"/>
        <v>172758.91745908698</v>
      </c>
      <c r="L5" s="85">
        <f t="shared" si="4"/>
        <v>5.0644938427369501E-2</v>
      </c>
      <c r="N5" s="80">
        <f t="shared" si="5"/>
        <v>244796.05651856819</v>
      </c>
      <c r="O5" s="85">
        <f t="shared" si="6"/>
        <v>7.1762901689759628E-2</v>
      </c>
    </row>
    <row r="6" spans="1:15">
      <c r="A6" s="79" t="s">
        <v>129</v>
      </c>
      <c r="B6" s="80">
        <f>+Feuille1!D42</f>
        <v>7504591.6508182269</v>
      </c>
      <c r="C6" s="80">
        <f>+Feuille1!E42</f>
        <v>7610178.4201827971</v>
      </c>
      <c r="D6" s="80">
        <f>+Feuille1!F42</f>
        <v>7843140.0064030634</v>
      </c>
      <c r="E6" s="80">
        <f>+Feuille1!G42</f>
        <v>7921571.4064670941</v>
      </c>
      <c r="F6" s="80">
        <f>+Feuille1!H42</f>
        <v>8000787.1205317657</v>
      </c>
      <c r="H6" s="80">
        <f t="shared" si="2"/>
        <v>7776053.7208805885</v>
      </c>
      <c r="K6" s="80">
        <f t="shared" si="3"/>
        <v>338548.35558483656</v>
      </c>
      <c r="L6" s="85">
        <f t="shared" si="4"/>
        <v>4.5112162171798476E-2</v>
      </c>
      <c r="N6" s="80">
        <f t="shared" si="5"/>
        <v>496195.46971353889</v>
      </c>
      <c r="O6" s="85">
        <f t="shared" si="6"/>
        <v>6.6118916631451752E-2</v>
      </c>
    </row>
    <row r="7" spans="1:15">
      <c r="A7" s="77" t="s">
        <v>130</v>
      </c>
      <c r="B7" s="78">
        <f>+Feuille1!D102</f>
        <v>3191166</v>
      </c>
      <c r="C7" s="78">
        <f>+Feuille1!E102</f>
        <v>3384400</v>
      </c>
      <c r="D7" s="78">
        <f>+Feuille1!F102</f>
        <v>3429426.45</v>
      </c>
      <c r="E7" s="78">
        <f>+Feuille1!G102</f>
        <v>3511309.2434999999</v>
      </c>
      <c r="F7" s="78">
        <f>+Feuille1!H102</f>
        <v>3595648.5208050003</v>
      </c>
      <c r="H7" s="78">
        <f t="shared" si="2"/>
        <v>3422390.0428609997</v>
      </c>
      <c r="K7" s="78">
        <f t="shared" si="3"/>
        <v>238260.45000000019</v>
      </c>
      <c r="L7" s="84">
        <f t="shared" si="4"/>
        <v>7.4662505805088264E-2</v>
      </c>
      <c r="N7" s="78">
        <f t="shared" si="5"/>
        <v>404482.52080500033</v>
      </c>
      <c r="O7" s="84">
        <f t="shared" si="6"/>
        <v>0.12675069889971269</v>
      </c>
    </row>
    <row r="8" spans="1:15">
      <c r="A8" s="79" t="s">
        <v>131</v>
      </c>
      <c r="B8" s="80">
        <f>+Feuille1!D94+Feuille1!D97</f>
        <v>700000</v>
      </c>
      <c r="C8" s="80">
        <f>+Feuille1!E94+Feuille1!E97</f>
        <v>700000</v>
      </c>
      <c r="D8" s="80">
        <f>+Feuille1!F94+Feuille1!F97</f>
        <v>700000</v>
      </c>
      <c r="E8" s="80">
        <f>+Feuille1!G94+Feuille1!G97</f>
        <v>700000</v>
      </c>
      <c r="F8" s="80">
        <f>+Feuille1!H94+Feuille1!H97</f>
        <v>700000</v>
      </c>
      <c r="H8" s="80">
        <f t="shared" si="2"/>
        <v>700000</v>
      </c>
      <c r="K8" s="80">
        <f t="shared" si="3"/>
        <v>0</v>
      </c>
      <c r="L8" s="85">
        <f t="shared" si="4"/>
        <v>0</v>
      </c>
      <c r="N8" s="80">
        <f t="shared" si="5"/>
        <v>0</v>
      </c>
      <c r="O8" s="85">
        <f t="shared" si="6"/>
        <v>0</v>
      </c>
    </row>
    <row r="9" spans="1:15">
      <c r="A9" s="79" t="s">
        <v>155</v>
      </c>
      <c r="B9" s="80"/>
      <c r="C9" s="80"/>
      <c r="D9" s="80"/>
      <c r="E9" s="80"/>
      <c r="F9" s="80"/>
      <c r="H9" s="80" t="e">
        <f t="shared" si="2"/>
        <v>#DIV/0!</v>
      </c>
      <c r="K9" s="80">
        <f t="shared" si="3"/>
        <v>0</v>
      </c>
      <c r="L9" s="85" t="e">
        <f t="shared" si="4"/>
        <v>#DIV/0!</v>
      </c>
      <c r="N9" s="80">
        <f t="shared" si="5"/>
        <v>0</v>
      </c>
      <c r="O9" s="85" t="e">
        <f t="shared" si="6"/>
        <v>#DIV/0!</v>
      </c>
    </row>
    <row r="10" spans="1:15">
      <c r="A10" s="79" t="s">
        <v>156</v>
      </c>
      <c r="B10" s="80"/>
      <c r="C10" s="80"/>
      <c r="D10" s="80"/>
      <c r="E10" s="80"/>
      <c r="F10" s="80"/>
      <c r="H10" s="80" t="e">
        <f t="shared" si="2"/>
        <v>#DIV/0!</v>
      </c>
      <c r="K10" s="80">
        <f t="shared" si="3"/>
        <v>0</v>
      </c>
      <c r="L10" s="85" t="e">
        <f t="shared" si="4"/>
        <v>#DIV/0!</v>
      </c>
      <c r="N10" s="80">
        <f t="shared" si="5"/>
        <v>0</v>
      </c>
      <c r="O10" s="85" t="e">
        <f t="shared" si="6"/>
        <v>#DIV/0!</v>
      </c>
    </row>
    <row r="11" spans="1:15">
      <c r="A11" s="79" t="s">
        <v>132</v>
      </c>
      <c r="B11" s="80">
        <f>+B7-B8-B9-B10</f>
        <v>2491166</v>
      </c>
      <c r="C11" s="80">
        <f t="shared" ref="C11:F11" si="7">+C7-C8-C9-C10</f>
        <v>2684400</v>
      </c>
      <c r="D11" s="80">
        <f t="shared" si="7"/>
        <v>2729426.45</v>
      </c>
      <c r="E11" s="80">
        <f t="shared" si="7"/>
        <v>2811309.2434999999</v>
      </c>
      <c r="F11" s="80">
        <f t="shared" si="7"/>
        <v>2895648.5208050003</v>
      </c>
      <c r="H11" s="80">
        <f t="shared" si="2"/>
        <v>2722390.0428610006</v>
      </c>
      <c r="K11" s="80">
        <f t="shared" si="3"/>
        <v>238260.45000000019</v>
      </c>
      <c r="L11" s="85">
        <f t="shared" si="4"/>
        <v>9.5642141069683939E-2</v>
      </c>
      <c r="N11" s="80">
        <f t="shared" si="5"/>
        <v>404482.52080500033</v>
      </c>
      <c r="O11" s="85">
        <f t="shared" si="6"/>
        <v>0.16236674746082769</v>
      </c>
    </row>
    <row r="12" spans="1:15">
      <c r="C12" s="81"/>
      <c r="D12" s="81"/>
      <c r="E12" s="81"/>
      <c r="F12" s="81"/>
      <c r="H12" s="81"/>
      <c r="K12" s="81"/>
      <c r="L12" s="86"/>
      <c r="N12" s="81"/>
      <c r="O12" s="86"/>
    </row>
    <row r="13" spans="1:15">
      <c r="A13" s="77" t="s">
        <v>133</v>
      </c>
      <c r="B13" s="78">
        <f>+B3-B8</f>
        <v>13406936</v>
      </c>
      <c r="C13" s="78">
        <f t="shared" ref="C13:F13" si="8">+C3-C8</f>
        <v>13774578.420182798</v>
      </c>
      <c r="D13" s="78">
        <f t="shared" si="8"/>
        <v>14156503.723043922</v>
      </c>
      <c r="E13" s="78">
        <f t="shared" si="8"/>
        <v>14352657.289274363</v>
      </c>
      <c r="F13" s="78">
        <f t="shared" si="8"/>
        <v>14552410.047037106</v>
      </c>
      <c r="H13" s="78">
        <f t="shared" si="2"/>
        <v>14048617.095907638</v>
      </c>
      <c r="K13" s="78">
        <f t="shared" si="3"/>
        <v>749567.72304392233</v>
      </c>
      <c r="L13" s="84">
        <f t="shared" si="4"/>
        <v>5.590895063897694E-2</v>
      </c>
      <c r="N13" s="78">
        <f>+F13-B13</f>
        <v>1145474.047037106</v>
      </c>
      <c r="O13" s="84">
        <f>+F13/B13-1</f>
        <v>8.5438913636725511E-2</v>
      </c>
    </row>
    <row r="14" spans="1:15">
      <c r="C14" s="81"/>
      <c r="D14" s="81"/>
      <c r="E14" s="81"/>
      <c r="F14" s="81"/>
      <c r="H14" s="81"/>
      <c r="K14" s="81"/>
      <c r="L14" s="86"/>
      <c r="N14" s="81"/>
      <c r="O14" s="86"/>
    </row>
    <row r="15" spans="1:15">
      <c r="A15" s="74" t="s">
        <v>134</v>
      </c>
      <c r="B15" s="75">
        <f>+Feuille1!D171</f>
        <v>14594974</v>
      </c>
      <c r="C15" s="75">
        <f>+Feuille1!E171</f>
        <v>14556000</v>
      </c>
      <c r="D15" s="75">
        <f>+Feuille1!F171</f>
        <v>14496019</v>
      </c>
      <c r="E15" s="75">
        <f>+Feuille1!G171</f>
        <v>14616000</v>
      </c>
      <c r="F15" s="75">
        <f>+Feuille1!H171</f>
        <v>14971000</v>
      </c>
      <c r="H15" s="75">
        <f t="shared" si="2"/>
        <v>14646798.6</v>
      </c>
      <c r="K15" s="75">
        <f t="shared" si="3"/>
        <v>-98955</v>
      </c>
      <c r="L15" s="83">
        <f t="shared" si="4"/>
        <v>-6.7800737431941149E-3</v>
      </c>
      <c r="N15" s="75">
        <f t="shared" ref="N15:N24" si="9">+F15-B15</f>
        <v>376026</v>
      </c>
      <c r="O15" s="83">
        <f t="shared" ref="O15:O24" si="10">+F15/B15-1</f>
        <v>2.5764074673925386E-2</v>
      </c>
    </row>
    <row r="16" spans="1:15">
      <c r="A16" s="77" t="s">
        <v>135</v>
      </c>
      <c r="B16" s="78">
        <f>+Feuille1!D123+Feuille1!D124+Feuille1!D125+Feuille1!D126</f>
        <v>13139330</v>
      </c>
      <c r="C16" s="78">
        <f>+Feuille1!E123+Feuille1!E124+Feuille1!E125+Feuille1!E126</f>
        <v>13235000</v>
      </c>
      <c r="D16" s="78">
        <f>+Feuille1!F123+Feuille1!F124+Feuille1!F125+Feuille1!F126</f>
        <v>13110019</v>
      </c>
      <c r="E16" s="78">
        <f>+Feuille1!G123+Feuille1!G124+Feuille1!G125+Feuille1!G126</f>
        <v>13200000</v>
      </c>
      <c r="F16" s="78">
        <f>+Feuille1!H123+Feuille1!H124+Feuille1!H125+Feuille1!H126</f>
        <v>13500000</v>
      </c>
      <c r="H16" s="78">
        <f t="shared" si="2"/>
        <v>13236869.800000001</v>
      </c>
      <c r="K16" s="78">
        <f t="shared" si="3"/>
        <v>-29311</v>
      </c>
      <c r="L16" s="84">
        <f t="shared" si="4"/>
        <v>-2.2307834569951224E-3</v>
      </c>
      <c r="N16" s="78">
        <f>+F16-B16</f>
        <v>360670</v>
      </c>
      <c r="O16" s="84">
        <f>+F16/B16-1</f>
        <v>2.7449649259132736E-2</v>
      </c>
    </row>
    <row r="17" spans="1:15">
      <c r="A17" s="77" t="s">
        <v>136</v>
      </c>
      <c r="B17" s="78">
        <f>+SUM(Feuille1!D127:D133)</f>
        <v>0</v>
      </c>
      <c r="C17" s="78">
        <f>+SUM(Feuille1!E127:E133)</f>
        <v>0</v>
      </c>
      <c r="D17" s="78">
        <f>+SUM(Feuille1!F127:F133)</f>
        <v>0</v>
      </c>
      <c r="E17" s="78">
        <f>+SUM(Feuille1!G127:G133)</f>
        <v>0</v>
      </c>
      <c r="F17" s="78">
        <f>+SUM(Feuille1!H127:H133)</f>
        <v>0</v>
      </c>
      <c r="H17" s="78">
        <f t="shared" si="2"/>
        <v>0</v>
      </c>
      <c r="K17" s="78">
        <f t="shared" si="3"/>
        <v>0</v>
      </c>
      <c r="L17" s="84" t="e">
        <f t="shared" si="4"/>
        <v>#DIV/0!</v>
      </c>
      <c r="N17" s="78">
        <f t="shared" si="9"/>
        <v>0</v>
      </c>
      <c r="O17" s="84" t="e">
        <f t="shared" si="10"/>
        <v>#DIV/0!</v>
      </c>
    </row>
    <row r="18" spans="1:15">
      <c r="A18" s="77" t="s">
        <v>137</v>
      </c>
      <c r="B18" s="78">
        <f>+Feuille1!D162+Feuille1!D119</f>
        <v>30000</v>
      </c>
      <c r="C18" s="78">
        <f>+Feuille1!E162+Feuille1!E119</f>
        <v>30000</v>
      </c>
      <c r="D18" s="78">
        <f>+Feuille1!F162+Feuille1!F119</f>
        <v>30000</v>
      </c>
      <c r="E18" s="78">
        <f>+Feuille1!G162+Feuille1!G119</f>
        <v>30000</v>
      </c>
      <c r="F18" s="78">
        <f>+Feuille1!H162+Feuille1!H119</f>
        <v>30000</v>
      </c>
      <c r="H18" s="78">
        <f t="shared" si="2"/>
        <v>30000</v>
      </c>
      <c r="K18" s="78">
        <f t="shared" si="3"/>
        <v>0</v>
      </c>
      <c r="L18" s="84">
        <f t="shared" si="4"/>
        <v>0</v>
      </c>
      <c r="N18" s="78">
        <f t="shared" si="9"/>
        <v>0</v>
      </c>
      <c r="O18" s="84">
        <f t="shared" si="10"/>
        <v>0</v>
      </c>
    </row>
    <row r="19" spans="1:15">
      <c r="A19" s="77" t="s">
        <v>138</v>
      </c>
      <c r="B19" s="78">
        <f>+Feuille1!D148</f>
        <v>0</v>
      </c>
      <c r="C19" s="78">
        <f>+Feuille1!E148</f>
        <v>0</v>
      </c>
      <c r="D19" s="78">
        <f>+Feuille1!F148</f>
        <v>0</v>
      </c>
      <c r="E19" s="78">
        <f>+Feuille1!G148</f>
        <v>0</v>
      </c>
      <c r="F19" s="78">
        <f>+Feuille1!H148</f>
        <v>0</v>
      </c>
      <c r="H19" s="78">
        <f t="shared" si="2"/>
        <v>0</v>
      </c>
      <c r="K19" s="78">
        <f t="shared" si="3"/>
        <v>0</v>
      </c>
      <c r="L19" s="84" t="e">
        <f t="shared" si="4"/>
        <v>#DIV/0!</v>
      </c>
      <c r="N19" s="78">
        <f t="shared" si="9"/>
        <v>0</v>
      </c>
      <c r="O19" s="84" t="e">
        <f t="shared" si="10"/>
        <v>#DIV/0!</v>
      </c>
    </row>
    <row r="20" spans="1:15">
      <c r="A20" s="77" t="s">
        <v>139</v>
      </c>
      <c r="B20" s="78">
        <f>+Feuille1!D114+Feuille1!D118</f>
        <v>370000</v>
      </c>
      <c r="C20" s="78">
        <f>+Feuille1!E114+Feuille1!E118</f>
        <v>376000</v>
      </c>
      <c r="D20" s="78">
        <f>+Feuille1!F114+Feuille1!F118</f>
        <v>376000</v>
      </c>
      <c r="E20" s="78">
        <f>+Feuille1!G114+Feuille1!G118</f>
        <v>396000</v>
      </c>
      <c r="F20" s="78">
        <f>+Feuille1!H114+Feuille1!H118</f>
        <v>426000</v>
      </c>
      <c r="H20" s="78">
        <f t="shared" si="2"/>
        <v>388800</v>
      </c>
      <c r="K20" s="78">
        <f t="shared" si="3"/>
        <v>6000</v>
      </c>
      <c r="L20" s="84">
        <f t="shared" si="4"/>
        <v>1.6216216216216273E-2</v>
      </c>
      <c r="N20" s="78">
        <f t="shared" si="9"/>
        <v>56000</v>
      </c>
      <c r="O20" s="84">
        <f t="shared" si="10"/>
        <v>0.15135135135135136</v>
      </c>
    </row>
    <row r="21" spans="1:15">
      <c r="A21" s="77" t="s">
        <v>171</v>
      </c>
      <c r="B21" s="78">
        <f>+Feuille1!D115+Feuille1!D116+Feuille1!D117</f>
        <v>230000</v>
      </c>
      <c r="C21" s="78">
        <f>+Feuille1!E115+Feuille1!E116+Feuille1!E117</f>
        <v>290000</v>
      </c>
      <c r="D21" s="78">
        <f>+Feuille1!F115+Feuille1!F116+Feuille1!F117</f>
        <v>290000</v>
      </c>
      <c r="E21" s="78">
        <f>+Feuille1!G115+Feuille1!G116+Feuille1!G117</f>
        <v>300000</v>
      </c>
      <c r="F21" s="78">
        <f>+Feuille1!H115+Feuille1!H116+Feuille1!H117</f>
        <v>325000</v>
      </c>
      <c r="H21" s="78">
        <f t="shared" si="2"/>
        <v>287000</v>
      </c>
      <c r="K21" s="78">
        <f t="shared" si="3"/>
        <v>60000</v>
      </c>
      <c r="L21" s="84">
        <f t="shared" si="4"/>
        <v>0.26086956521739135</v>
      </c>
      <c r="N21" s="78">
        <f t="shared" si="9"/>
        <v>95000</v>
      </c>
      <c r="O21" s="84">
        <f t="shared" si="10"/>
        <v>0.41304347826086962</v>
      </c>
    </row>
    <row r="22" spans="1:15" ht="22">
      <c r="A22" s="96" t="s">
        <v>169</v>
      </c>
      <c r="B22" s="78"/>
      <c r="C22" s="78"/>
      <c r="D22" s="78"/>
      <c r="E22" s="78"/>
      <c r="F22" s="78"/>
      <c r="H22" s="78" t="e">
        <f t="shared" ref="H22" si="11">+AVERAGE(B22:F22)</f>
        <v>#DIV/0!</v>
      </c>
      <c r="K22" s="78">
        <f t="shared" si="3"/>
        <v>0</v>
      </c>
      <c r="L22" s="84" t="e">
        <f t="shared" si="4"/>
        <v>#DIV/0!</v>
      </c>
      <c r="N22" s="78">
        <f t="shared" ref="N22" si="12">+F22-B22</f>
        <v>0</v>
      </c>
      <c r="O22" s="84" t="e">
        <f t="shared" ref="O22" si="13">+F22/B22-1</f>
        <v>#DIV/0!</v>
      </c>
    </row>
    <row r="23" spans="1:15" ht="22">
      <c r="A23" s="96" t="s">
        <v>170</v>
      </c>
      <c r="B23" s="78">
        <f>+B15-SUM(B16:B21)-B24</f>
        <v>288644</v>
      </c>
      <c r="C23" s="78">
        <f>+C15-SUM(C16:C21)-C24</f>
        <v>100000</v>
      </c>
      <c r="D23" s="78">
        <f>+D15-SUM(D16:D21)-D24</f>
        <v>165000</v>
      </c>
      <c r="E23" s="78">
        <f>+E15-SUM(E16:E21)-E24</f>
        <v>165000</v>
      </c>
      <c r="F23" s="78">
        <f>+F15-SUM(F16:F21)-F24</f>
        <v>165000</v>
      </c>
      <c r="H23" s="78">
        <f t="shared" si="2"/>
        <v>176728.8</v>
      </c>
      <c r="K23" s="78">
        <f t="shared" si="3"/>
        <v>-123644</v>
      </c>
      <c r="L23" s="84">
        <f t="shared" si="4"/>
        <v>-0.42836158035503946</v>
      </c>
      <c r="N23" s="78">
        <f t="shared" si="9"/>
        <v>-123644</v>
      </c>
      <c r="O23" s="84">
        <f t="shared" si="10"/>
        <v>-0.42836158035503946</v>
      </c>
    </row>
    <row r="24" spans="1:15">
      <c r="A24" s="77" t="s">
        <v>140</v>
      </c>
      <c r="B24" s="78">
        <f>+Feuille1!D165+Feuille1!D166+Feuille1!D167+Feuille1!D168+Feuille1!D169+Feuille1!D161+Feuille1!D163</f>
        <v>537000</v>
      </c>
      <c r="C24" s="78">
        <f>+Feuille1!E165+Feuille1!E166+Feuille1!E167+Feuille1!E168+Feuille1!E169+Feuille1!E161+Feuille1!E163</f>
        <v>525000</v>
      </c>
      <c r="D24" s="78">
        <f>+Feuille1!F165+Feuille1!F166+Feuille1!F167+Feuille1!F168+Feuille1!F169+Feuille1!F161+Feuille1!F163</f>
        <v>525000</v>
      </c>
      <c r="E24" s="78">
        <f>+Feuille1!G165+Feuille1!G166+Feuille1!G167+Feuille1!G168+Feuille1!G169+Feuille1!G161+Feuille1!G163</f>
        <v>525000</v>
      </c>
      <c r="F24" s="78">
        <f>+Feuille1!H165+Feuille1!H166+Feuille1!H167+Feuille1!H168+Feuille1!H169+Feuille1!H161+Feuille1!H163</f>
        <v>525000</v>
      </c>
      <c r="H24" s="78">
        <f t="shared" si="2"/>
        <v>527400</v>
      </c>
      <c r="K24" s="78">
        <f t="shared" si="3"/>
        <v>-12000</v>
      </c>
      <c r="L24" s="84">
        <f t="shared" si="4"/>
        <v>-2.2346368715083775E-2</v>
      </c>
      <c r="N24" s="78">
        <f t="shared" si="9"/>
        <v>-12000</v>
      </c>
      <c r="O24" s="84">
        <f t="shared" si="10"/>
        <v>-2.2346368715083775E-2</v>
      </c>
    </row>
    <row r="25" spans="1:15">
      <c r="C25" s="81"/>
      <c r="D25" s="81"/>
      <c r="E25" s="81"/>
      <c r="F25" s="81"/>
      <c r="H25" s="81"/>
      <c r="K25" s="81"/>
      <c r="L25" s="86"/>
      <c r="N25" s="81"/>
      <c r="O25" s="86"/>
    </row>
    <row r="26" spans="1:15">
      <c r="A26" s="77" t="s">
        <v>141</v>
      </c>
      <c r="B26" s="78">
        <f>+B15-B24</f>
        <v>14057974</v>
      </c>
      <c r="C26" s="78">
        <f>+C15-C24</f>
        <v>14031000</v>
      </c>
      <c r="D26" s="78">
        <f>+D15-D24</f>
        <v>13971019</v>
      </c>
      <c r="E26" s="78">
        <f>+E15-E24</f>
        <v>14091000</v>
      </c>
      <c r="F26" s="78">
        <f>+F15-F24</f>
        <v>14446000</v>
      </c>
      <c r="H26" s="78">
        <f t="shared" si="2"/>
        <v>14119398.6</v>
      </c>
      <c r="K26" s="78">
        <f t="shared" si="3"/>
        <v>-86955</v>
      </c>
      <c r="L26" s="84">
        <f t="shared" si="4"/>
        <v>-6.1854574492740122E-3</v>
      </c>
      <c r="N26" s="78">
        <f>+F26-B26</f>
        <v>388026</v>
      </c>
      <c r="O26" s="84">
        <f>+F26/B26-1</f>
        <v>2.7601843622701239E-2</v>
      </c>
    </row>
    <row r="27" spans="1:15">
      <c r="C27" s="81"/>
      <c r="D27" s="81"/>
      <c r="E27" s="81"/>
      <c r="F27" s="81"/>
      <c r="H27" s="81"/>
      <c r="K27" s="81"/>
      <c r="L27" s="86"/>
      <c r="N27" s="81"/>
      <c r="O27" s="86"/>
    </row>
    <row r="28" spans="1:15">
      <c r="A28" s="74" t="s">
        <v>142</v>
      </c>
      <c r="B28" s="75">
        <f>+B15-B3</f>
        <v>488038</v>
      </c>
      <c r="C28" s="75">
        <f>+C15-C3</f>
        <v>81421.579817201942</v>
      </c>
      <c r="D28" s="75">
        <f>+D15-D3</f>
        <v>-360484.72304392233</v>
      </c>
      <c r="E28" s="75">
        <f>+E15-E3</f>
        <v>-436657.28927436285</v>
      </c>
      <c r="F28" s="75">
        <f>+F15-F3</f>
        <v>-281410.04703710601</v>
      </c>
      <c r="H28" s="75">
        <f t="shared" si="2"/>
        <v>-101818.49590763784</v>
      </c>
      <c r="K28" s="75">
        <f t="shared" si="3"/>
        <v>-848522.72304392233</v>
      </c>
      <c r="L28" s="83">
        <f t="shared" si="4"/>
        <v>-1.7386406858562702</v>
      </c>
      <c r="N28" s="75">
        <f>+F28-B28</f>
        <v>-769448.04703710601</v>
      </c>
      <c r="O28" s="83">
        <f>+F28/B28-1</f>
        <v>-1.5766150321022256</v>
      </c>
    </row>
    <row r="29" spans="1:15">
      <c r="C29" s="81"/>
      <c r="D29" s="81"/>
      <c r="E29" s="81"/>
      <c r="F29" s="81"/>
      <c r="H29" s="81"/>
      <c r="K29" s="81"/>
      <c r="L29" s="86"/>
      <c r="N29" s="81"/>
      <c r="O29" s="86"/>
    </row>
    <row r="30" spans="1:15">
      <c r="A30" s="74" t="s">
        <v>143</v>
      </c>
      <c r="B30" s="75">
        <f>+B26-B13</f>
        <v>651038</v>
      </c>
      <c r="C30" s="75">
        <f>+C26-C13</f>
        <v>256421.57981720194</v>
      </c>
      <c r="D30" s="75">
        <f>+D26-D13</f>
        <v>-185484.72304392233</v>
      </c>
      <c r="E30" s="75">
        <f>+E26-E13</f>
        <v>-261657.28927436285</v>
      </c>
      <c r="F30" s="75">
        <f>+F26-F13</f>
        <v>-106410.04703710601</v>
      </c>
      <c r="H30" s="75">
        <f t="shared" si="2"/>
        <v>70781.504092362156</v>
      </c>
      <c r="K30" s="75">
        <f t="shared" si="3"/>
        <v>-836522.72304392233</v>
      </c>
      <c r="L30" s="83">
        <f t="shared" si="4"/>
        <v>-1.2849061391868406</v>
      </c>
      <c r="N30" s="75">
        <f>+F30-B30</f>
        <v>-757448.04703710601</v>
      </c>
      <c r="O30" s="83">
        <f>+F30/B30-1</f>
        <v>-1.1634467527811065</v>
      </c>
    </row>
    <row r="31" spans="1:15">
      <c r="C31" s="81"/>
      <c r="D31" s="81"/>
      <c r="E31" s="81"/>
      <c r="F31" s="81"/>
      <c r="H31" s="81"/>
      <c r="K31" s="81"/>
      <c r="L31" s="86"/>
      <c r="N31" s="81"/>
      <c r="O31" s="86"/>
    </row>
    <row r="32" spans="1:15">
      <c r="A32" s="74" t="s">
        <v>144</v>
      </c>
      <c r="B32" s="75">
        <f>+B34-B33</f>
        <v>0</v>
      </c>
      <c r="C32" s="75">
        <f t="shared" ref="C32:F32" si="14">+C34-C33</f>
        <v>0</v>
      </c>
      <c r="D32" s="75">
        <f t="shared" si="14"/>
        <v>0</v>
      </c>
      <c r="E32" s="75">
        <f t="shared" si="14"/>
        <v>0</v>
      </c>
      <c r="F32" s="75">
        <f t="shared" si="14"/>
        <v>0</v>
      </c>
      <c r="H32" s="75">
        <f t="shared" si="2"/>
        <v>0</v>
      </c>
      <c r="K32" s="75">
        <f t="shared" si="3"/>
        <v>0</v>
      </c>
      <c r="L32" s="83" t="e">
        <f t="shared" si="4"/>
        <v>#DIV/0!</v>
      </c>
      <c r="N32" s="75">
        <f t="shared" ref="N32:N34" si="15">+F32-B32</f>
        <v>0</v>
      </c>
      <c r="O32" s="83" t="e">
        <f t="shared" ref="O32:O34" si="16">+F32/B32-1</f>
        <v>#DIV/0!</v>
      </c>
    </row>
    <row r="33" spans="1:15">
      <c r="A33" s="79" t="s">
        <v>126</v>
      </c>
      <c r="B33" s="80"/>
      <c r="C33" s="80"/>
      <c r="D33" s="80"/>
      <c r="E33" s="80"/>
      <c r="F33" s="80"/>
      <c r="H33" s="80" t="e">
        <f t="shared" si="2"/>
        <v>#DIV/0!</v>
      </c>
      <c r="K33" s="80">
        <f t="shared" si="3"/>
        <v>0</v>
      </c>
      <c r="L33" s="85" t="e">
        <f t="shared" si="4"/>
        <v>#DIV/0!</v>
      </c>
      <c r="N33" s="80">
        <f t="shared" si="15"/>
        <v>0</v>
      </c>
      <c r="O33" s="85" t="e">
        <f t="shared" si="16"/>
        <v>#DIV/0!</v>
      </c>
    </row>
    <row r="34" spans="1:15">
      <c r="A34" s="79" t="s">
        <v>134</v>
      </c>
      <c r="B34" s="80"/>
      <c r="C34" s="80"/>
      <c r="D34" s="80"/>
      <c r="E34" s="80"/>
      <c r="F34" s="80"/>
      <c r="H34" s="80" t="e">
        <f t="shared" si="2"/>
        <v>#DIV/0!</v>
      </c>
      <c r="K34" s="80">
        <f t="shared" si="3"/>
        <v>0</v>
      </c>
      <c r="L34" s="85" t="e">
        <f t="shared" si="4"/>
        <v>#DIV/0!</v>
      </c>
      <c r="N34" s="80">
        <f t="shared" si="15"/>
        <v>0</v>
      </c>
      <c r="O34" s="85" t="e">
        <f t="shared" si="16"/>
        <v>#DIV/0!</v>
      </c>
    </row>
    <row r="35" spans="1:15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>
      <c r="A36" s="79" t="s">
        <v>145</v>
      </c>
      <c r="B36" s="80"/>
      <c r="C36" s="80"/>
      <c r="D36" s="80"/>
      <c r="E36" s="80"/>
      <c r="F36" s="80"/>
      <c r="H36" s="80" t="e">
        <f t="shared" si="2"/>
        <v>#DIV/0!</v>
      </c>
      <c r="K36" s="80">
        <f t="shared" si="3"/>
        <v>0</v>
      </c>
      <c r="L36" s="85" t="e">
        <f t="shared" si="4"/>
        <v>#DIV/0!</v>
      </c>
      <c r="N36" s="80">
        <f t="shared" ref="N36:N37" si="17">+F36-B36</f>
        <v>0</v>
      </c>
      <c r="O36" s="85" t="e">
        <f t="shared" ref="O36:O37" si="18">+F36/B36-1</f>
        <v>#DIV/0!</v>
      </c>
    </row>
    <row r="37" spans="1:15">
      <c r="A37" s="79" t="s">
        <v>146</v>
      </c>
      <c r="B37" s="80"/>
      <c r="C37" s="80"/>
      <c r="D37" s="80"/>
      <c r="E37" s="80"/>
      <c r="F37" s="80"/>
      <c r="H37" s="80" t="e">
        <f t="shared" si="2"/>
        <v>#DIV/0!</v>
      </c>
      <c r="K37" s="80">
        <f t="shared" si="3"/>
        <v>0</v>
      </c>
      <c r="L37" s="85" t="e">
        <f t="shared" si="4"/>
        <v>#DIV/0!</v>
      </c>
      <c r="N37" s="80">
        <f t="shared" si="17"/>
        <v>0</v>
      </c>
      <c r="O37" s="85" t="e">
        <f t="shared" si="18"/>
        <v>#DIV/0!</v>
      </c>
    </row>
    <row r="38" spans="1:15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>
      <c r="A40" s="74" t="s">
        <v>147</v>
      </c>
      <c r="B40" s="82">
        <f>+SUM('[1]6 - Budget'!G201:BT201)</f>
        <v>595</v>
      </c>
      <c r="C40" s="82">
        <f>+B40</f>
        <v>595</v>
      </c>
      <c r="D40" s="82">
        <f t="shared" ref="D40:F42" si="19">+C40</f>
        <v>595</v>
      </c>
      <c r="E40" s="82">
        <f t="shared" si="19"/>
        <v>595</v>
      </c>
      <c r="F40" s="82">
        <f t="shared" si="19"/>
        <v>595</v>
      </c>
      <c r="H40" s="75">
        <f t="shared" si="2"/>
        <v>595</v>
      </c>
      <c r="K40" s="75">
        <f t="shared" si="3"/>
        <v>0</v>
      </c>
      <c r="L40" s="83">
        <f t="shared" si="4"/>
        <v>0</v>
      </c>
      <c r="N40" s="75">
        <f t="shared" ref="N40:N42" si="20">+F40-B40</f>
        <v>0</v>
      </c>
      <c r="O40" s="83">
        <f t="shared" ref="O40:O42" si="21">+F40/B40-1</f>
        <v>0</v>
      </c>
    </row>
    <row r="41" spans="1:15">
      <c r="A41" s="79" t="s">
        <v>148</v>
      </c>
      <c r="B41" s="89">
        <f>+'[1]6 - Budget'!G201+'[1]6 - Budget'!M201+'[1]6 - Budget'!O201+'[1]6 - Budget'!I201+'[1]6 - Budget'!AI201+'[1]6 - Budget'!AK201+'[1]6 - Budget'!AQ201+'[1]6 - Budget'!AY201</f>
        <v>520</v>
      </c>
      <c r="C41" s="89">
        <f>+B41</f>
        <v>520</v>
      </c>
      <c r="D41" s="89">
        <f t="shared" si="19"/>
        <v>520</v>
      </c>
      <c r="E41" s="89">
        <f t="shared" si="19"/>
        <v>520</v>
      </c>
      <c r="F41" s="89">
        <f t="shared" si="19"/>
        <v>520</v>
      </c>
      <c r="H41" s="80">
        <f t="shared" si="2"/>
        <v>520</v>
      </c>
      <c r="K41" s="80">
        <f t="shared" si="3"/>
        <v>0</v>
      </c>
      <c r="L41" s="85">
        <f t="shared" si="4"/>
        <v>0</v>
      </c>
      <c r="N41" s="80">
        <f t="shared" si="20"/>
        <v>0</v>
      </c>
      <c r="O41" s="85">
        <f t="shared" si="21"/>
        <v>0</v>
      </c>
    </row>
    <row r="42" spans="1:15">
      <c r="A42" s="79" t="s">
        <v>149</v>
      </c>
      <c r="B42" s="89">
        <f>+B40-B41</f>
        <v>75</v>
      </c>
      <c r="C42" s="89">
        <f>+B42</f>
        <v>75</v>
      </c>
      <c r="D42" s="89">
        <f t="shared" si="19"/>
        <v>75</v>
      </c>
      <c r="E42" s="89">
        <f t="shared" si="19"/>
        <v>75</v>
      </c>
      <c r="F42" s="89">
        <f t="shared" si="19"/>
        <v>75</v>
      </c>
      <c r="H42" s="80">
        <f t="shared" si="2"/>
        <v>75</v>
      </c>
      <c r="K42" s="80">
        <f t="shared" si="3"/>
        <v>0</v>
      </c>
      <c r="L42" s="85">
        <f t="shared" si="4"/>
        <v>0</v>
      </c>
      <c r="N42" s="80">
        <f t="shared" si="20"/>
        <v>0</v>
      </c>
      <c r="O42" s="85">
        <f t="shared" si="21"/>
        <v>0</v>
      </c>
    </row>
    <row r="45" spans="1:15">
      <c r="A45" s="74" t="s">
        <v>150</v>
      </c>
      <c r="B45" s="75">
        <f>+B13/B40</f>
        <v>22532.665546218486</v>
      </c>
      <c r="C45" s="75">
        <f>+C13/C40</f>
        <v>23150.55196669378</v>
      </c>
      <c r="D45" s="75">
        <f>+D13/D40</f>
        <v>23792.443232006593</v>
      </c>
      <c r="E45" s="75">
        <f>+E13/E40</f>
        <v>24122.113091217416</v>
      </c>
      <c r="F45" s="75">
        <f>+F13/F40</f>
        <v>24457.832011827068</v>
      </c>
      <c r="H45" s="75">
        <f t="shared" si="2"/>
        <v>23611.121169592669</v>
      </c>
      <c r="K45" s="75">
        <f t="shared" si="3"/>
        <v>1259.7776857881072</v>
      </c>
      <c r="L45" s="83">
        <f t="shared" si="4"/>
        <v>5.590895063897694E-2</v>
      </c>
      <c r="N45" s="75">
        <f>+F45-B45</f>
        <v>1925.1664656085813</v>
      </c>
      <c r="O45" s="83">
        <f>+F45/B45-1</f>
        <v>8.5438913636725511E-2</v>
      </c>
    </row>
    <row r="46" spans="1:15" ht="22">
      <c r="A46" s="97" t="s">
        <v>168</v>
      </c>
      <c r="B46" s="75">
        <f>+(B13-B10)/B40</f>
        <v>22532.665546218486</v>
      </c>
      <c r="C46" s="75">
        <f>+(C13-C10)/C40</f>
        <v>23150.55196669378</v>
      </c>
      <c r="D46" s="75">
        <f>+(D13-D10)/D40</f>
        <v>23792.443232006593</v>
      </c>
      <c r="E46" s="75">
        <f>+(E13-E10)/E40</f>
        <v>24122.113091217416</v>
      </c>
      <c r="F46" s="75">
        <f>+(F13-F10)/F40</f>
        <v>24457.832011827068</v>
      </c>
      <c r="H46" s="75">
        <f t="shared" ref="H46" si="22">+AVERAGE(B46:F46)</f>
        <v>23611.121169592669</v>
      </c>
      <c r="K46" s="75">
        <f t="shared" si="3"/>
        <v>1259.7776857881072</v>
      </c>
      <c r="L46" s="83">
        <f t="shared" si="4"/>
        <v>5.590895063897694E-2</v>
      </c>
      <c r="N46" s="75">
        <f>+F46-B46</f>
        <v>1925.1664656085813</v>
      </c>
      <c r="O46" s="83">
        <f>+F46/B46-1</f>
        <v>8.5438913636725511E-2</v>
      </c>
    </row>
    <row r="47" spans="1:15" ht="24" customHeight="1">
      <c r="C47" s="81"/>
      <c r="D47" s="81"/>
      <c r="E47" s="81"/>
      <c r="F47" s="81"/>
      <c r="H47" s="81"/>
      <c r="K47" s="81"/>
      <c r="L47" s="86"/>
      <c r="N47" s="81"/>
      <c r="O47" s="86"/>
    </row>
    <row r="48" spans="1:15">
      <c r="A48" s="74" t="s">
        <v>151</v>
      </c>
      <c r="B48" s="82"/>
      <c r="C48" s="82"/>
      <c r="D48" s="82"/>
      <c r="E48" s="82"/>
      <c r="F48" s="82"/>
      <c r="H48" s="82"/>
      <c r="K48" s="82">
        <f t="shared" si="3"/>
        <v>0</v>
      </c>
      <c r="L48" s="88" t="e">
        <f t="shared" si="4"/>
        <v>#DIV/0!</v>
      </c>
      <c r="N48" s="82"/>
      <c r="O48" s="88"/>
    </row>
    <row r="49" spans="1:15">
      <c r="A49" s="74" t="s">
        <v>172</v>
      </c>
      <c r="B49" s="82"/>
      <c r="C49" s="82"/>
      <c r="D49" s="82"/>
      <c r="E49" s="82"/>
      <c r="F49" s="82"/>
      <c r="H49" s="82"/>
      <c r="K49" s="82">
        <f t="shared" si="3"/>
        <v>0</v>
      </c>
      <c r="L49" s="88" t="e">
        <f t="shared" si="4"/>
        <v>#DIV/0!</v>
      </c>
      <c r="N49" s="82"/>
      <c r="O49" s="88"/>
    </row>
  </sheetData>
  <mergeCells count="2">
    <mergeCell ref="K2:L2"/>
    <mergeCell ref="N2:O2"/>
  </mergeCells>
  <pageMargins left="0.7" right="0.7" top="0.75" bottom="0.75" header="0.3" footer="0.3"/>
  <pageSetup paperSize="9" scale="52" orientation="landscape" verticalDpi="0"/>
  <rowBreaks count="1" manualBreakCount="1">
    <brk id="51" max="16383" man="1"/>
  </row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9"/>
  <sheetViews>
    <sheetView tabSelected="1" view="pageBreakPreview" topLeftCell="A2" zoomScaleSheetLayoutView="100" workbookViewId="0">
      <selection activeCell="A2" sqref="A2:O95"/>
    </sheetView>
  </sheetViews>
  <sheetFormatPr baseColWidth="10" defaultColWidth="11.5" defaultRowHeight="11" x14ac:dyDescent="0"/>
  <cols>
    <col min="1" max="1" width="40.83203125" style="76" customWidth="1"/>
    <col min="2" max="2" width="17.33203125" style="81" bestFit="1" customWidth="1"/>
    <col min="3" max="3" width="14.33203125" style="76" customWidth="1"/>
    <col min="4" max="6" width="15.83203125" style="76" customWidth="1"/>
    <col min="7" max="7" width="11.5" style="76"/>
    <col min="8" max="8" width="15.83203125" style="76" customWidth="1"/>
    <col min="9" max="10" width="11.5" style="76"/>
    <col min="11" max="11" width="15.83203125" style="76" customWidth="1"/>
    <col min="12" max="12" width="15.83203125" style="87" customWidth="1"/>
    <col min="13" max="13" width="11.5" style="76"/>
    <col min="14" max="14" width="15.83203125" style="76" customWidth="1"/>
    <col min="15" max="15" width="15.83203125" style="87" customWidth="1"/>
    <col min="16" max="16384" width="11.5" style="76"/>
  </cols>
  <sheetData>
    <row r="1" spans="1:15">
      <c r="A1" s="91" t="s">
        <v>154</v>
      </c>
      <c r="B1" s="81">
        <v>2017</v>
      </c>
      <c r="C1" s="76">
        <v>2018</v>
      </c>
      <c r="D1" s="76">
        <v>2019</v>
      </c>
      <c r="E1" s="76">
        <v>2020</v>
      </c>
      <c r="F1" s="76">
        <v>2021</v>
      </c>
    </row>
    <row r="2" spans="1:15" ht="22">
      <c r="A2" s="114" t="s">
        <v>178</v>
      </c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50" t="s">
        <v>175</v>
      </c>
      <c r="K2" s="106" t="s">
        <v>176</v>
      </c>
      <c r="L2" s="107"/>
      <c r="N2" s="106" t="s">
        <v>177</v>
      </c>
      <c r="O2" s="107"/>
    </row>
    <row r="3" spans="1:15">
      <c r="A3" s="74" t="s">
        <v>126</v>
      </c>
      <c r="B3" s="75">
        <f>+B4+B7</f>
        <v>0</v>
      </c>
      <c r="C3" s="75">
        <f t="shared" ref="C3:E3" si="0">+C4+C7</f>
        <v>0</v>
      </c>
      <c r="D3" s="75">
        <f t="shared" si="0"/>
        <v>988000</v>
      </c>
      <c r="E3" s="75">
        <f t="shared" si="0"/>
        <v>1101250</v>
      </c>
      <c r="F3" s="75">
        <f>+F4+F7</f>
        <v>1141250</v>
      </c>
      <c r="H3" s="75">
        <f>+AVERAGE(B3:F3)</f>
        <v>646100</v>
      </c>
      <c r="K3" s="75">
        <f>+D3-B3</f>
        <v>988000</v>
      </c>
      <c r="L3" s="83" t="e">
        <f>+D3/B3-1</f>
        <v>#DIV/0!</v>
      </c>
      <c r="N3" s="75">
        <f>+F3-B3</f>
        <v>1141250</v>
      </c>
      <c r="O3" s="83" t="e">
        <f>+F3/B3-1</f>
        <v>#DIV/0!</v>
      </c>
    </row>
    <row r="4" spans="1:15">
      <c r="A4" s="77" t="s">
        <v>127</v>
      </c>
      <c r="B4" s="78">
        <f>+SUM(B5:B6)</f>
        <v>0</v>
      </c>
      <c r="C4" s="78">
        <f t="shared" ref="C4:F4" si="1">+SUM(C5:C6)</f>
        <v>0</v>
      </c>
      <c r="D4" s="78">
        <f t="shared" si="1"/>
        <v>380076</v>
      </c>
      <c r="E4" s="78">
        <f t="shared" si="1"/>
        <v>506952</v>
      </c>
      <c r="F4" s="78">
        <f t="shared" si="1"/>
        <v>565592</v>
      </c>
      <c r="H4" s="78">
        <f t="shared" ref="H4:H46" si="2">+AVERAGE(B4:F4)</f>
        <v>290524</v>
      </c>
      <c r="K4" s="78">
        <f t="shared" ref="K4:K49" si="3">+D4-B4</f>
        <v>380076</v>
      </c>
      <c r="L4" s="84" t="e">
        <f t="shared" ref="L4:L49" si="4">+D4/B4-1</f>
        <v>#DIV/0!</v>
      </c>
      <c r="N4" s="78">
        <f t="shared" ref="N4:N11" si="5">+F4-B4</f>
        <v>565592</v>
      </c>
      <c r="O4" s="84" t="e">
        <f t="shared" ref="O4:O11" si="6">+F4/B4-1</f>
        <v>#DIV/0!</v>
      </c>
    </row>
    <row r="5" spans="1:15" ht="11" customHeight="1">
      <c r="A5" s="79" t="s">
        <v>128</v>
      </c>
      <c r="B5" s="108" t="s">
        <v>174</v>
      </c>
      <c r="C5" s="109"/>
      <c r="D5" s="98">
        <v>274425</v>
      </c>
      <c r="E5" s="98">
        <v>281926</v>
      </c>
      <c r="F5" s="98">
        <v>281926</v>
      </c>
      <c r="H5" s="80">
        <f>+AVERAGE(B5:F5)</f>
        <v>279425.66666666669</v>
      </c>
      <c r="K5" s="80" t="e">
        <f>+D5-B5</f>
        <v>#VALUE!</v>
      </c>
      <c r="L5" s="85" t="e">
        <f>+D5/B5-1</f>
        <v>#VALUE!</v>
      </c>
      <c r="N5" s="80" t="e">
        <f>+F5-B5</f>
        <v>#VALUE!</v>
      </c>
      <c r="O5" s="85" t="e">
        <f>+F5/B5-1</f>
        <v>#VALUE!</v>
      </c>
    </row>
    <row r="6" spans="1:15" ht="11" customHeight="1">
      <c r="A6" s="79" t="s">
        <v>129</v>
      </c>
      <c r="B6" s="110"/>
      <c r="C6" s="111"/>
      <c r="D6" s="98">
        <v>105651</v>
      </c>
      <c r="E6" s="98">
        <v>225026</v>
      </c>
      <c r="F6" s="98">
        <v>283666</v>
      </c>
      <c r="H6" s="80">
        <f t="shared" si="2"/>
        <v>204781</v>
      </c>
      <c r="K6" s="80">
        <f t="shared" si="3"/>
        <v>105651</v>
      </c>
      <c r="L6" s="85" t="e">
        <f t="shared" si="4"/>
        <v>#DIV/0!</v>
      </c>
      <c r="N6" s="80">
        <f>+F6-B6</f>
        <v>283666</v>
      </c>
      <c r="O6" s="85" t="e">
        <f t="shared" si="6"/>
        <v>#DIV/0!</v>
      </c>
    </row>
    <row r="7" spans="1:15" ht="11" customHeight="1">
      <c r="A7" s="77" t="s">
        <v>130</v>
      </c>
      <c r="B7" s="78">
        <f>+SUM(B8:B11)</f>
        <v>0</v>
      </c>
      <c r="C7" s="78">
        <f t="shared" ref="C7:F7" si="7">+SUM(C8:C11)</f>
        <v>0</v>
      </c>
      <c r="D7" s="78">
        <f t="shared" si="7"/>
        <v>607924</v>
      </c>
      <c r="E7" s="78">
        <f t="shared" si="7"/>
        <v>594298</v>
      </c>
      <c r="F7" s="78">
        <f t="shared" si="7"/>
        <v>575658</v>
      </c>
      <c r="H7" s="78">
        <f t="shared" si="2"/>
        <v>355576</v>
      </c>
      <c r="K7" s="78">
        <f>+D7-B7</f>
        <v>607924</v>
      </c>
      <c r="L7" s="84" t="e">
        <f>+D7/B7-1</f>
        <v>#DIV/0!</v>
      </c>
      <c r="N7" s="78">
        <f>+F7-B7</f>
        <v>575658</v>
      </c>
      <c r="O7" s="84" t="e">
        <f>+F7/B7-1</f>
        <v>#DIV/0!</v>
      </c>
    </row>
    <row r="8" spans="1:15" ht="11" customHeight="1">
      <c r="A8" s="79" t="s">
        <v>131</v>
      </c>
      <c r="B8" s="108" t="s">
        <v>174</v>
      </c>
      <c r="C8" s="109"/>
      <c r="D8" s="98"/>
      <c r="E8" s="98"/>
      <c r="F8" s="98"/>
      <c r="H8" s="80" t="e">
        <f t="shared" si="2"/>
        <v>#DIV/0!</v>
      </c>
      <c r="K8" s="80" t="e">
        <f t="shared" si="3"/>
        <v>#VALUE!</v>
      </c>
      <c r="L8" s="85" t="e">
        <f t="shared" si="4"/>
        <v>#VALUE!</v>
      </c>
      <c r="N8" s="80" t="e">
        <f t="shared" si="5"/>
        <v>#VALUE!</v>
      </c>
      <c r="O8" s="85" t="e">
        <f t="shared" si="6"/>
        <v>#VALUE!</v>
      </c>
    </row>
    <row r="9" spans="1:15" ht="11" customHeight="1">
      <c r="A9" s="79" t="s">
        <v>155</v>
      </c>
      <c r="B9" s="112"/>
      <c r="C9" s="113"/>
      <c r="D9" s="98">
        <v>122697</v>
      </c>
      <c r="E9" s="98">
        <v>70000</v>
      </c>
      <c r="F9" s="98">
        <v>50000</v>
      </c>
      <c r="H9" s="80">
        <f t="shared" si="2"/>
        <v>80899</v>
      </c>
      <c r="K9" s="80">
        <f t="shared" si="3"/>
        <v>122697</v>
      </c>
      <c r="L9" s="85" t="e">
        <f t="shared" si="4"/>
        <v>#DIV/0!</v>
      </c>
      <c r="N9" s="80">
        <f t="shared" si="5"/>
        <v>50000</v>
      </c>
      <c r="O9" s="85" t="e">
        <f t="shared" si="6"/>
        <v>#DIV/0!</v>
      </c>
    </row>
    <row r="10" spans="1:15" ht="11" customHeight="1">
      <c r="A10" s="79" t="s">
        <v>156</v>
      </c>
      <c r="B10" s="112"/>
      <c r="C10" s="113"/>
      <c r="D10" s="98">
        <v>255000</v>
      </c>
      <c r="E10" s="98">
        <v>255000</v>
      </c>
      <c r="F10" s="98">
        <v>255000</v>
      </c>
      <c r="H10" s="80">
        <f t="shared" si="2"/>
        <v>255000</v>
      </c>
      <c r="K10" s="80">
        <f t="shared" si="3"/>
        <v>255000</v>
      </c>
      <c r="L10" s="85" t="e">
        <f t="shared" si="4"/>
        <v>#DIV/0!</v>
      </c>
      <c r="N10" s="80">
        <f t="shared" si="5"/>
        <v>255000</v>
      </c>
      <c r="O10" s="85" t="e">
        <f t="shared" si="6"/>
        <v>#DIV/0!</v>
      </c>
    </row>
    <row r="11" spans="1:15" ht="11" customHeight="1">
      <c r="A11" s="79" t="s">
        <v>132</v>
      </c>
      <c r="B11" s="110"/>
      <c r="C11" s="111"/>
      <c r="D11" s="98">
        <v>230227</v>
      </c>
      <c r="E11" s="98">
        <v>269298</v>
      </c>
      <c r="F11" s="98">
        <v>270658</v>
      </c>
      <c r="H11" s="80">
        <f t="shared" si="2"/>
        <v>256727.66666666666</v>
      </c>
      <c r="K11" s="80">
        <f t="shared" si="3"/>
        <v>230227</v>
      </c>
      <c r="L11" s="85" t="e">
        <f t="shared" si="4"/>
        <v>#DIV/0!</v>
      </c>
      <c r="N11" s="80">
        <f t="shared" si="5"/>
        <v>270658</v>
      </c>
      <c r="O11" s="85" t="e">
        <f t="shared" si="6"/>
        <v>#DIV/0!</v>
      </c>
    </row>
    <row r="12" spans="1:15" ht="11" customHeight="1">
      <c r="C12" s="81"/>
      <c r="D12" s="81"/>
      <c r="E12" s="81"/>
      <c r="F12" s="81"/>
      <c r="H12" s="81"/>
      <c r="K12" s="81"/>
      <c r="L12" s="86"/>
      <c r="N12" s="81"/>
      <c r="O12" s="86"/>
    </row>
    <row r="13" spans="1:15" ht="11" customHeight="1">
      <c r="A13" s="77" t="s">
        <v>133</v>
      </c>
      <c r="B13" s="78" t="e">
        <f>+B3-B8</f>
        <v>#VALUE!</v>
      </c>
      <c r="C13" s="78">
        <f t="shared" ref="C13:F13" si="8">+C3-C8</f>
        <v>0</v>
      </c>
      <c r="D13" s="78">
        <f t="shared" si="8"/>
        <v>988000</v>
      </c>
      <c r="E13" s="78">
        <f t="shared" si="8"/>
        <v>1101250</v>
      </c>
      <c r="F13" s="78">
        <f t="shared" si="8"/>
        <v>1141250</v>
      </c>
      <c r="H13" s="78" t="e">
        <f t="shared" si="2"/>
        <v>#VALUE!</v>
      </c>
      <c r="K13" s="78" t="e">
        <f t="shared" si="3"/>
        <v>#VALUE!</v>
      </c>
      <c r="L13" s="84" t="e">
        <f t="shared" si="4"/>
        <v>#VALUE!</v>
      </c>
      <c r="N13" s="78" t="e">
        <f>+F13-B13</f>
        <v>#VALUE!</v>
      </c>
      <c r="O13" s="84" t="e">
        <f>+F13/B13-1</f>
        <v>#VALUE!</v>
      </c>
    </row>
    <row r="14" spans="1:15" ht="11" customHeight="1">
      <c r="C14" s="81"/>
      <c r="D14" s="81"/>
      <c r="E14" s="81"/>
      <c r="F14" s="81"/>
      <c r="H14" s="81"/>
      <c r="K14" s="81"/>
      <c r="L14" s="86"/>
      <c r="N14" s="81"/>
      <c r="O14" s="86"/>
    </row>
    <row r="15" spans="1:15" ht="11" customHeight="1">
      <c r="A15" s="74" t="s">
        <v>134</v>
      </c>
      <c r="B15" s="75">
        <f>+SUM(B16:B24)</f>
        <v>0</v>
      </c>
      <c r="C15" s="75">
        <f t="shared" ref="C15:F15" si="9">+SUM(C16:C24)</f>
        <v>0</v>
      </c>
      <c r="D15" s="75">
        <f t="shared" si="9"/>
        <v>988000</v>
      </c>
      <c r="E15" s="75">
        <f t="shared" si="9"/>
        <v>1101250</v>
      </c>
      <c r="F15" s="75">
        <f t="shared" si="9"/>
        <v>1141250</v>
      </c>
      <c r="H15" s="75">
        <f t="shared" si="2"/>
        <v>646100</v>
      </c>
      <c r="K15" s="75">
        <f t="shared" si="3"/>
        <v>988000</v>
      </c>
      <c r="L15" s="83" t="e">
        <f t="shared" si="4"/>
        <v>#DIV/0!</v>
      </c>
      <c r="N15" s="75">
        <f t="shared" ref="N15:N24" si="10">+F15-B15</f>
        <v>1141250</v>
      </c>
      <c r="O15" s="83" t="e">
        <f t="shared" ref="O15:O24" si="11">+F15/B15-1</f>
        <v>#DIV/0!</v>
      </c>
    </row>
    <row r="16" spans="1:15" ht="11" customHeight="1">
      <c r="A16" s="77" t="s">
        <v>135</v>
      </c>
      <c r="B16" s="108" t="s">
        <v>174</v>
      </c>
      <c r="C16" s="109"/>
      <c r="D16" s="99">
        <v>158000</v>
      </c>
      <c r="E16" s="99">
        <v>203000</v>
      </c>
      <c r="F16" s="99">
        <v>213000</v>
      </c>
      <c r="H16" s="78">
        <f t="shared" si="2"/>
        <v>191333.33333333334</v>
      </c>
      <c r="K16" s="78" t="e">
        <f t="shared" si="3"/>
        <v>#VALUE!</v>
      </c>
      <c r="L16" s="84" t="e">
        <f t="shared" si="4"/>
        <v>#VALUE!</v>
      </c>
      <c r="N16" s="78" t="e">
        <f>+F16-B16</f>
        <v>#VALUE!</v>
      </c>
      <c r="O16" s="84" t="e">
        <f>+F16/B16-1</f>
        <v>#VALUE!</v>
      </c>
    </row>
    <row r="17" spans="1:15" ht="11" customHeight="1">
      <c r="A17" s="77" t="s">
        <v>136</v>
      </c>
      <c r="B17" s="112"/>
      <c r="C17" s="113"/>
      <c r="D17" s="99">
        <v>703000</v>
      </c>
      <c r="E17" s="99">
        <v>768000</v>
      </c>
      <c r="F17" s="99">
        <v>798000</v>
      </c>
      <c r="H17" s="78">
        <f t="shared" si="2"/>
        <v>756333.33333333337</v>
      </c>
      <c r="K17" s="78">
        <f>+D17-B17</f>
        <v>703000</v>
      </c>
      <c r="L17" s="84" t="e">
        <f t="shared" si="4"/>
        <v>#DIV/0!</v>
      </c>
      <c r="N17" s="78">
        <f t="shared" si="10"/>
        <v>798000</v>
      </c>
      <c r="O17" s="84" t="e">
        <f t="shared" si="11"/>
        <v>#DIV/0!</v>
      </c>
    </row>
    <row r="18" spans="1:15" ht="11" customHeight="1">
      <c r="A18" s="77" t="s">
        <v>137</v>
      </c>
      <c r="B18" s="112"/>
      <c r="C18" s="113"/>
      <c r="D18" s="99"/>
      <c r="E18" s="99"/>
      <c r="F18" s="99"/>
      <c r="H18" s="78" t="e">
        <f t="shared" si="2"/>
        <v>#DIV/0!</v>
      </c>
      <c r="K18" s="78">
        <f t="shared" si="3"/>
        <v>0</v>
      </c>
      <c r="L18" s="84" t="e">
        <f t="shared" si="4"/>
        <v>#DIV/0!</v>
      </c>
      <c r="N18" s="78">
        <f t="shared" si="10"/>
        <v>0</v>
      </c>
      <c r="O18" s="84" t="e">
        <f t="shared" si="11"/>
        <v>#DIV/0!</v>
      </c>
    </row>
    <row r="19" spans="1:15" ht="11" customHeight="1">
      <c r="A19" s="77" t="s">
        <v>138</v>
      </c>
      <c r="B19" s="112"/>
      <c r="C19" s="113"/>
      <c r="D19" s="99"/>
      <c r="E19" s="99"/>
      <c r="F19" s="99"/>
      <c r="H19" s="78" t="e">
        <f t="shared" si="2"/>
        <v>#DIV/0!</v>
      </c>
      <c r="K19" s="78">
        <f t="shared" si="3"/>
        <v>0</v>
      </c>
      <c r="L19" s="84" t="e">
        <f t="shared" si="4"/>
        <v>#DIV/0!</v>
      </c>
      <c r="N19" s="78">
        <f t="shared" si="10"/>
        <v>0</v>
      </c>
      <c r="O19" s="84" t="e">
        <f t="shared" si="11"/>
        <v>#DIV/0!</v>
      </c>
    </row>
    <row r="20" spans="1:15" ht="11" customHeight="1">
      <c r="A20" s="77" t="s">
        <v>139</v>
      </c>
      <c r="B20" s="112"/>
      <c r="C20" s="113"/>
      <c r="D20" s="99">
        <v>6500</v>
      </c>
      <c r="E20" s="99">
        <v>9750</v>
      </c>
      <c r="F20" s="99">
        <v>9750</v>
      </c>
      <c r="H20" s="78">
        <f t="shared" si="2"/>
        <v>8666.6666666666661</v>
      </c>
      <c r="K20" s="78">
        <f t="shared" si="3"/>
        <v>6500</v>
      </c>
      <c r="L20" s="84" t="e">
        <f t="shared" si="4"/>
        <v>#DIV/0!</v>
      </c>
      <c r="N20" s="78">
        <f t="shared" si="10"/>
        <v>9750</v>
      </c>
      <c r="O20" s="84" t="e">
        <f t="shared" si="11"/>
        <v>#DIV/0!</v>
      </c>
    </row>
    <row r="21" spans="1:15" ht="11" customHeight="1">
      <c r="A21" s="77" t="s">
        <v>171</v>
      </c>
      <c r="B21" s="112"/>
      <c r="C21" s="113"/>
      <c r="D21" s="99"/>
      <c r="E21" s="99"/>
      <c r="F21" s="99"/>
      <c r="H21" s="78" t="e">
        <f t="shared" si="2"/>
        <v>#DIV/0!</v>
      </c>
      <c r="K21" s="78">
        <f t="shared" si="3"/>
        <v>0</v>
      </c>
      <c r="L21" s="84" t="e">
        <f t="shared" si="4"/>
        <v>#DIV/0!</v>
      </c>
      <c r="N21" s="78">
        <f t="shared" si="10"/>
        <v>0</v>
      </c>
      <c r="O21" s="84" t="e">
        <f t="shared" si="11"/>
        <v>#DIV/0!</v>
      </c>
    </row>
    <row r="22" spans="1:15" ht="22">
      <c r="A22" s="96" t="s">
        <v>169</v>
      </c>
      <c r="B22" s="112"/>
      <c r="C22" s="113"/>
      <c r="D22" s="99"/>
      <c r="E22" s="99"/>
      <c r="F22" s="99"/>
      <c r="H22" s="78" t="e">
        <f t="shared" si="2"/>
        <v>#DIV/0!</v>
      </c>
      <c r="K22" s="78">
        <f t="shared" si="3"/>
        <v>0</v>
      </c>
      <c r="L22" s="84" t="e">
        <f t="shared" si="4"/>
        <v>#DIV/0!</v>
      </c>
      <c r="N22" s="78">
        <f t="shared" si="10"/>
        <v>0</v>
      </c>
      <c r="O22" s="84" t="e">
        <f t="shared" si="11"/>
        <v>#DIV/0!</v>
      </c>
    </row>
    <row r="23" spans="1:15" ht="22">
      <c r="A23" s="96" t="s">
        <v>170</v>
      </c>
      <c r="B23" s="112"/>
      <c r="C23" s="113"/>
      <c r="D23" s="99">
        <v>120500</v>
      </c>
      <c r="E23" s="99">
        <v>120500</v>
      </c>
      <c r="F23" s="99">
        <v>120500</v>
      </c>
      <c r="H23" s="78">
        <f t="shared" si="2"/>
        <v>120500</v>
      </c>
      <c r="K23" s="78">
        <f t="shared" si="3"/>
        <v>120500</v>
      </c>
      <c r="L23" s="84" t="e">
        <f t="shared" si="4"/>
        <v>#DIV/0!</v>
      </c>
      <c r="N23" s="78">
        <f t="shared" si="10"/>
        <v>120500</v>
      </c>
      <c r="O23" s="84" t="e">
        <f t="shared" si="11"/>
        <v>#DIV/0!</v>
      </c>
    </row>
    <row r="24" spans="1:15" ht="11" customHeight="1">
      <c r="A24" s="77" t="s">
        <v>140</v>
      </c>
      <c r="B24" s="110"/>
      <c r="C24" s="111"/>
      <c r="D24" s="99"/>
      <c r="E24" s="99"/>
      <c r="F24" s="99"/>
      <c r="H24" s="78" t="e">
        <f t="shared" si="2"/>
        <v>#DIV/0!</v>
      </c>
      <c r="K24" s="78">
        <f t="shared" si="3"/>
        <v>0</v>
      </c>
      <c r="L24" s="84" t="e">
        <f t="shared" si="4"/>
        <v>#DIV/0!</v>
      </c>
      <c r="N24" s="78">
        <f t="shared" si="10"/>
        <v>0</v>
      </c>
      <c r="O24" s="84" t="e">
        <f t="shared" si="11"/>
        <v>#DIV/0!</v>
      </c>
    </row>
    <row r="25" spans="1:15" ht="11" customHeight="1">
      <c r="C25" s="81"/>
      <c r="D25" s="81"/>
      <c r="E25" s="81"/>
      <c r="F25" s="81"/>
      <c r="H25" s="81"/>
      <c r="K25" s="81"/>
      <c r="L25" s="86"/>
      <c r="N25" s="81"/>
      <c r="O25" s="86"/>
    </row>
    <row r="26" spans="1:15" ht="11" customHeight="1">
      <c r="A26" s="77" t="s">
        <v>141</v>
      </c>
      <c r="B26" s="78">
        <f>+B15-B24</f>
        <v>0</v>
      </c>
      <c r="C26" s="78">
        <f>+C15-C24</f>
        <v>0</v>
      </c>
      <c r="D26" s="78">
        <f>+D15-D24</f>
        <v>988000</v>
      </c>
      <c r="E26" s="78">
        <f>+E15-E24</f>
        <v>1101250</v>
      </c>
      <c r="F26" s="78">
        <f>+F15-F24</f>
        <v>1141250</v>
      </c>
      <c r="H26" s="78">
        <f t="shared" si="2"/>
        <v>646100</v>
      </c>
      <c r="K26" s="78">
        <f t="shared" si="3"/>
        <v>988000</v>
      </c>
      <c r="L26" s="84" t="e">
        <f t="shared" si="4"/>
        <v>#DIV/0!</v>
      </c>
      <c r="N26" s="78">
        <f>+F26-B26</f>
        <v>1141250</v>
      </c>
      <c r="O26" s="84" t="e">
        <f>+F26/B26-1</f>
        <v>#DIV/0!</v>
      </c>
    </row>
    <row r="27" spans="1:15" ht="11" customHeight="1">
      <c r="C27" s="81"/>
      <c r="D27" s="81"/>
      <c r="E27" s="81"/>
      <c r="F27" s="81"/>
      <c r="H27" s="81"/>
      <c r="K27" s="81"/>
      <c r="L27" s="86"/>
      <c r="N27" s="81"/>
      <c r="O27" s="86"/>
    </row>
    <row r="28" spans="1:15" ht="11" customHeight="1">
      <c r="A28" s="74" t="s">
        <v>142</v>
      </c>
      <c r="B28" s="75">
        <f>+B15-B3</f>
        <v>0</v>
      </c>
      <c r="C28" s="75">
        <f>+C15-C3</f>
        <v>0</v>
      </c>
      <c r="D28" s="75">
        <f>+D15-D3</f>
        <v>0</v>
      </c>
      <c r="E28" s="75">
        <f>+E15-E3</f>
        <v>0</v>
      </c>
      <c r="F28" s="75">
        <f>+F15-F3</f>
        <v>0</v>
      </c>
      <c r="H28" s="75">
        <f t="shared" si="2"/>
        <v>0</v>
      </c>
      <c r="K28" s="75">
        <f t="shared" si="3"/>
        <v>0</v>
      </c>
      <c r="L28" s="83" t="e">
        <f t="shared" si="4"/>
        <v>#DIV/0!</v>
      </c>
      <c r="N28" s="75">
        <f>+F28-B28</f>
        <v>0</v>
      </c>
      <c r="O28" s="83" t="e">
        <f>+F28/B28-1</f>
        <v>#DIV/0!</v>
      </c>
    </row>
    <row r="29" spans="1:15" ht="11" customHeight="1">
      <c r="C29" s="81"/>
      <c r="D29" s="81"/>
      <c r="E29" s="81"/>
      <c r="F29" s="81"/>
      <c r="H29" s="81"/>
      <c r="K29" s="81"/>
      <c r="L29" s="86"/>
      <c r="N29" s="81"/>
      <c r="O29" s="86"/>
    </row>
    <row r="30" spans="1:15" ht="11" customHeight="1">
      <c r="A30" s="74" t="s">
        <v>143</v>
      </c>
      <c r="B30" s="75" t="e">
        <f>+B26-B13</f>
        <v>#VALUE!</v>
      </c>
      <c r="C30" s="75">
        <f>+C26-C13</f>
        <v>0</v>
      </c>
      <c r="D30" s="75">
        <f>+D26-D13</f>
        <v>0</v>
      </c>
      <c r="E30" s="75">
        <f>+E26-E13</f>
        <v>0</v>
      </c>
      <c r="F30" s="75">
        <f>+F26-F13</f>
        <v>0</v>
      </c>
      <c r="H30" s="75" t="e">
        <f t="shared" si="2"/>
        <v>#VALUE!</v>
      </c>
      <c r="K30" s="75" t="e">
        <f t="shared" si="3"/>
        <v>#VALUE!</v>
      </c>
      <c r="L30" s="83" t="e">
        <f t="shared" si="4"/>
        <v>#VALUE!</v>
      </c>
      <c r="N30" s="75" t="e">
        <f>+F30-B30</f>
        <v>#VALUE!</v>
      </c>
      <c r="O30" s="83" t="e">
        <f>+F30/B30-1</f>
        <v>#VALUE!</v>
      </c>
    </row>
    <row r="31" spans="1:15" ht="11" customHeight="1">
      <c r="C31" s="81"/>
      <c r="D31" s="81"/>
      <c r="E31" s="81"/>
      <c r="F31" s="81"/>
      <c r="H31" s="81"/>
      <c r="K31" s="81"/>
      <c r="L31" s="86"/>
      <c r="N31" s="81"/>
      <c r="O31" s="86"/>
    </row>
    <row r="32" spans="1:15" ht="11" customHeight="1">
      <c r="A32" s="74" t="s">
        <v>144</v>
      </c>
      <c r="B32" s="75">
        <f>+B34-B33</f>
        <v>0</v>
      </c>
      <c r="C32" s="75">
        <f t="shared" ref="C32:E32" si="12">+C34-C33</f>
        <v>0</v>
      </c>
      <c r="D32" s="75">
        <f t="shared" si="12"/>
        <v>0</v>
      </c>
      <c r="E32" s="75">
        <f t="shared" si="12"/>
        <v>0</v>
      </c>
      <c r="F32" s="75">
        <f>+F34-F33</f>
        <v>0</v>
      </c>
      <c r="H32" s="75">
        <f t="shared" si="2"/>
        <v>0</v>
      </c>
      <c r="K32" s="75">
        <f t="shared" si="3"/>
        <v>0</v>
      </c>
      <c r="L32" s="83" t="e">
        <f t="shared" si="4"/>
        <v>#DIV/0!</v>
      </c>
      <c r="N32" s="75">
        <f t="shared" ref="N32:N34" si="13">+F32-B32</f>
        <v>0</v>
      </c>
      <c r="O32" s="83" t="e">
        <f t="shared" ref="O32:O34" si="14">+F32/B32-1</f>
        <v>#DIV/0!</v>
      </c>
    </row>
    <row r="33" spans="1:15" ht="11" customHeight="1">
      <c r="A33" s="79" t="s">
        <v>126</v>
      </c>
      <c r="B33" s="98"/>
      <c r="C33" s="98"/>
      <c r="D33" s="98"/>
      <c r="E33" s="98"/>
      <c r="F33" s="98"/>
      <c r="H33" s="80" t="e">
        <f t="shared" si="2"/>
        <v>#DIV/0!</v>
      </c>
      <c r="K33" s="80">
        <f t="shared" si="3"/>
        <v>0</v>
      </c>
      <c r="L33" s="85" t="e">
        <f t="shared" si="4"/>
        <v>#DIV/0!</v>
      </c>
      <c r="N33" s="80">
        <f t="shared" si="13"/>
        <v>0</v>
      </c>
      <c r="O33" s="85" t="e">
        <f t="shared" si="14"/>
        <v>#DIV/0!</v>
      </c>
    </row>
    <row r="34" spans="1:15" ht="11" customHeight="1">
      <c r="A34" s="79" t="s">
        <v>134</v>
      </c>
      <c r="B34" s="98"/>
      <c r="C34" s="98"/>
      <c r="D34" s="98"/>
      <c r="E34" s="98"/>
      <c r="F34" s="98"/>
      <c r="H34" s="80" t="e">
        <f t="shared" si="2"/>
        <v>#DIV/0!</v>
      </c>
      <c r="K34" s="80">
        <f t="shared" si="3"/>
        <v>0</v>
      </c>
      <c r="L34" s="85" t="e">
        <f t="shared" si="4"/>
        <v>#DIV/0!</v>
      </c>
      <c r="N34" s="80">
        <f t="shared" si="13"/>
        <v>0</v>
      </c>
      <c r="O34" s="85" t="e">
        <f t="shared" si="14"/>
        <v>#DIV/0!</v>
      </c>
    </row>
    <row r="35" spans="1:15" ht="11" customHeight="1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 ht="11" customHeight="1">
      <c r="A36" s="79" t="s">
        <v>145</v>
      </c>
      <c r="B36" s="98"/>
      <c r="C36" s="98"/>
      <c r="D36" s="98"/>
      <c r="E36" s="98"/>
      <c r="F36" s="98"/>
      <c r="H36" s="80" t="e">
        <f t="shared" si="2"/>
        <v>#DIV/0!</v>
      </c>
      <c r="K36" s="80">
        <f t="shared" si="3"/>
        <v>0</v>
      </c>
      <c r="L36" s="85" t="e">
        <f t="shared" si="4"/>
        <v>#DIV/0!</v>
      </c>
      <c r="N36" s="80">
        <f t="shared" ref="N36:N37" si="15">+F36-B36</f>
        <v>0</v>
      </c>
      <c r="O36" s="85" t="e">
        <f t="shared" ref="O36:O37" si="16">+F36/B36-1</f>
        <v>#DIV/0!</v>
      </c>
    </row>
    <row r="37" spans="1:15">
      <c r="A37" s="79" t="s">
        <v>146</v>
      </c>
      <c r="B37" s="98"/>
      <c r="C37" s="98"/>
      <c r="D37" s="98"/>
      <c r="E37" s="98"/>
      <c r="F37" s="98"/>
      <c r="H37" s="80" t="e">
        <f t="shared" si="2"/>
        <v>#DIV/0!</v>
      </c>
      <c r="K37" s="80">
        <f t="shared" si="3"/>
        <v>0</v>
      </c>
      <c r="L37" s="85" t="e">
        <f t="shared" si="4"/>
        <v>#DIV/0!</v>
      </c>
      <c r="N37" s="80">
        <f t="shared" si="15"/>
        <v>0</v>
      </c>
      <c r="O37" s="85" t="e">
        <f t="shared" si="16"/>
        <v>#DIV/0!</v>
      </c>
    </row>
    <row r="38" spans="1:15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>
      <c r="B39" s="81" t="s">
        <v>164</v>
      </c>
      <c r="C39" s="81" t="s">
        <v>165</v>
      </c>
      <c r="D39" s="81" t="s">
        <v>166</v>
      </c>
      <c r="E39" s="81" t="s">
        <v>167</v>
      </c>
      <c r="F39" s="81" t="s">
        <v>173</v>
      </c>
      <c r="H39" s="81"/>
      <c r="K39" s="81"/>
      <c r="L39" s="86"/>
      <c r="N39" s="81"/>
      <c r="O39" s="86"/>
    </row>
    <row r="40" spans="1:15">
      <c r="A40" s="74" t="s">
        <v>147</v>
      </c>
      <c r="B40" s="100">
        <f>+SUM(B41:B42)</f>
        <v>0</v>
      </c>
      <c r="C40" s="100">
        <f t="shared" ref="C40:E40" si="17">+SUM(C41:C42)</f>
        <v>0</v>
      </c>
      <c r="D40" s="100">
        <f t="shared" si="17"/>
        <v>43</v>
      </c>
      <c r="E40" s="100">
        <f t="shared" si="17"/>
        <v>40</v>
      </c>
      <c r="F40" s="100">
        <f>+SUM(F41:F42)</f>
        <v>37</v>
      </c>
      <c r="H40" s="75">
        <f t="shared" si="2"/>
        <v>24</v>
      </c>
      <c r="K40" s="75">
        <f t="shared" si="3"/>
        <v>43</v>
      </c>
      <c r="L40" s="83" t="e">
        <f t="shared" si="4"/>
        <v>#DIV/0!</v>
      </c>
      <c r="N40" s="75">
        <f t="shared" ref="N40:N42" si="18">+F40-B40</f>
        <v>37</v>
      </c>
      <c r="O40" s="83" t="e">
        <f t="shared" ref="O40:O42" si="19">+F40/B40-1</f>
        <v>#DIV/0!</v>
      </c>
    </row>
    <row r="41" spans="1:15">
      <c r="A41" s="79" t="s">
        <v>148</v>
      </c>
      <c r="B41" s="101" t="s">
        <v>174</v>
      </c>
      <c r="C41" s="102"/>
      <c r="D41" s="98">
        <v>43</v>
      </c>
      <c r="E41" s="98">
        <v>40</v>
      </c>
      <c r="F41" s="98">
        <v>37</v>
      </c>
      <c r="H41" s="80">
        <f t="shared" si="2"/>
        <v>40</v>
      </c>
      <c r="K41" s="80" t="e">
        <f t="shared" si="3"/>
        <v>#VALUE!</v>
      </c>
      <c r="L41" s="85" t="e">
        <f t="shared" si="4"/>
        <v>#VALUE!</v>
      </c>
      <c r="N41" s="80" t="e">
        <f t="shared" si="18"/>
        <v>#VALUE!</v>
      </c>
      <c r="O41" s="85" t="e">
        <f t="shared" si="19"/>
        <v>#VALUE!</v>
      </c>
    </row>
    <row r="42" spans="1:15">
      <c r="A42" s="79" t="s">
        <v>149</v>
      </c>
      <c r="B42" s="103"/>
      <c r="C42" s="104"/>
      <c r="D42" s="98"/>
      <c r="E42" s="98"/>
      <c r="F42" s="98"/>
      <c r="H42" s="80" t="e">
        <f t="shared" si="2"/>
        <v>#DIV/0!</v>
      </c>
      <c r="K42" s="80">
        <f t="shared" si="3"/>
        <v>0</v>
      </c>
      <c r="L42" s="85" t="e">
        <f t="shared" si="4"/>
        <v>#DIV/0!</v>
      </c>
      <c r="N42" s="80">
        <f t="shared" si="18"/>
        <v>0</v>
      </c>
      <c r="O42" s="85" t="e">
        <f t="shared" si="19"/>
        <v>#DIV/0!</v>
      </c>
    </row>
    <row r="45" spans="1:15">
      <c r="A45" s="74" t="s">
        <v>150</v>
      </c>
      <c r="B45" s="75" t="e">
        <f>+B13/B40</f>
        <v>#VALUE!</v>
      </c>
      <c r="C45" s="75" t="e">
        <f>+C13/C40</f>
        <v>#DIV/0!</v>
      </c>
      <c r="D45" s="75">
        <f>+D13/D40</f>
        <v>22976.744186046511</v>
      </c>
      <c r="E45" s="75">
        <f>+E13/E40</f>
        <v>27531.25</v>
      </c>
      <c r="F45" s="75">
        <f>+F13/F40</f>
        <v>30844.594594594593</v>
      </c>
      <c r="H45" s="75" t="e">
        <f t="shared" si="2"/>
        <v>#VALUE!</v>
      </c>
      <c r="K45" s="75" t="e">
        <f t="shared" si="3"/>
        <v>#VALUE!</v>
      </c>
      <c r="L45" s="83" t="e">
        <f t="shared" si="4"/>
        <v>#VALUE!</v>
      </c>
      <c r="N45" s="75" t="e">
        <f>+F45-B45</f>
        <v>#VALUE!</v>
      </c>
      <c r="O45" s="83" t="e">
        <f>+F45/B45-1</f>
        <v>#VALUE!</v>
      </c>
    </row>
    <row r="46" spans="1:15" ht="22">
      <c r="A46" s="97" t="s">
        <v>168</v>
      </c>
      <c r="B46" s="75" t="e">
        <f>+(B13-B10)/B40</f>
        <v>#VALUE!</v>
      </c>
      <c r="C46" s="75" t="e">
        <f>+(C13-C10)/C40</f>
        <v>#DIV/0!</v>
      </c>
      <c r="D46" s="75">
        <f>+(D13-D10)/D40</f>
        <v>17046.511627906977</v>
      </c>
      <c r="E46" s="75">
        <f>+(E13-E10)/E40</f>
        <v>21156.25</v>
      </c>
      <c r="F46" s="75">
        <f>+(F13-F10)/F40</f>
        <v>23952.702702702703</v>
      </c>
      <c r="H46" s="75" t="e">
        <f t="shared" si="2"/>
        <v>#VALUE!</v>
      </c>
      <c r="K46" s="75" t="e">
        <f t="shared" si="3"/>
        <v>#VALUE!</v>
      </c>
      <c r="L46" s="83" t="e">
        <f t="shared" si="4"/>
        <v>#VALUE!</v>
      </c>
      <c r="N46" s="75" t="e">
        <f>+F46-B46</f>
        <v>#VALUE!</v>
      </c>
      <c r="O46" s="83" t="e">
        <f>+F46/B46-1</f>
        <v>#VALUE!</v>
      </c>
    </row>
    <row r="47" spans="1:15" ht="24" customHeight="1">
      <c r="C47" s="81"/>
      <c r="D47" s="81"/>
      <c r="E47" s="81"/>
      <c r="F47" s="81"/>
      <c r="H47" s="81"/>
      <c r="K47" s="81"/>
      <c r="L47" s="86"/>
      <c r="N47" s="81"/>
      <c r="O47" s="86"/>
    </row>
    <row r="48" spans="1:15">
      <c r="A48" s="74" t="s">
        <v>151</v>
      </c>
      <c r="B48" s="99"/>
      <c r="C48" s="99"/>
      <c r="D48" s="99">
        <v>250</v>
      </c>
      <c r="E48" s="99">
        <v>250</v>
      </c>
      <c r="F48" s="99">
        <v>250</v>
      </c>
      <c r="H48" s="75"/>
      <c r="K48" s="75">
        <f t="shared" si="3"/>
        <v>250</v>
      </c>
      <c r="L48" s="83" t="e">
        <f t="shared" si="4"/>
        <v>#DIV/0!</v>
      </c>
      <c r="N48" s="75">
        <f>+F48-B48</f>
        <v>250</v>
      </c>
      <c r="O48" s="83" t="e">
        <f>+F48/B48-1</f>
        <v>#DIV/0!</v>
      </c>
    </row>
    <row r="49" spans="1:15">
      <c r="A49" s="74" t="s">
        <v>172</v>
      </c>
      <c r="B49" s="99"/>
      <c r="C49" s="99"/>
      <c r="D49" s="99"/>
      <c r="E49" s="99"/>
      <c r="F49" s="99"/>
      <c r="H49" s="75"/>
      <c r="K49" s="75">
        <f t="shared" si="3"/>
        <v>0</v>
      </c>
      <c r="L49" s="83" t="e">
        <f t="shared" si="4"/>
        <v>#DIV/0!</v>
      </c>
      <c r="N49" s="75">
        <f>+F49-B49</f>
        <v>0</v>
      </c>
      <c r="O49" s="83" t="e">
        <f>+F49/B49-1</f>
        <v>#DIV/0!</v>
      </c>
    </row>
  </sheetData>
  <mergeCells count="5">
    <mergeCell ref="K2:L2"/>
    <mergeCell ref="N2:O2"/>
    <mergeCell ref="B5:C6"/>
    <mergeCell ref="B8:C11"/>
    <mergeCell ref="B16:C24"/>
  </mergeCells>
  <phoneticPr fontId="38" type="noConversion"/>
  <printOptions horizontalCentered="1" verticalCentered="1"/>
  <pageMargins left="0.12000000000000001" right="0.12000000000000001" top="0.36000000000000004" bottom="0.36000000000000004" header="0.31" footer="0.31"/>
  <pageSetup paperSize="9" scale="50" orientation="landscape"/>
  <headerFooter>
    <oddHeader>&amp;LAnnexe 1-1 Analyse financière - Dossier d'accréditation 2e partie&amp;CAccréditations 2018 -2019  - Ministère de la culture</oddHeader>
  </headerFooter>
  <rowBreaks count="1" manualBreakCount="1">
    <brk id="51" max="16383" man="1"/>
  </rowBreaks>
  <drawing r:id="rId1"/>
  <extLst>
    <ext xmlns:mx="http://schemas.microsoft.com/office/mac/excel/2008/main" uri="{64002731-A6B0-56B0-2670-7721B7C09600}">
      <mx:PLV Mode="0" OnePage="0" WScale="5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analyse fi (2)</vt:lpstr>
      <vt:lpstr>analyse fi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DESPRES</dc:creator>
  <cp:lastModifiedBy>Sophie Cosnard</cp:lastModifiedBy>
  <cp:lastPrinted>2019-04-05T13:24:18Z</cp:lastPrinted>
  <dcterms:created xsi:type="dcterms:W3CDTF">2017-10-10T15:17:42Z</dcterms:created>
  <dcterms:modified xsi:type="dcterms:W3CDTF">2019-04-05T13:24:39Z</dcterms:modified>
</cp:coreProperties>
</file>